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450" yWindow="915" windowWidth="19380" windowHeight="7920"/>
  </bookViews>
  <sheets>
    <sheet name="Tabelle1" sheetId="1" r:id="rId1"/>
    <sheet name="Variante" sheetId="2" r:id="rId2"/>
    <sheet name="GasKam+Bank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8" i="3" l="1"/>
  <c r="N38" i="3"/>
  <c r="AG83" i="3" l="1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R96" i="3"/>
  <c r="U103" i="3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T103" i="3"/>
  <c r="S103" i="3"/>
  <c r="S76" i="3"/>
  <c r="R103" i="3"/>
  <c r="AG84" i="3"/>
  <c r="G102" i="3"/>
  <c r="G101" i="3"/>
  <c r="P96" i="3"/>
  <c r="O96" i="3"/>
  <c r="N96" i="3"/>
  <c r="Q94" i="3"/>
  <c r="P94" i="3"/>
  <c r="O94" i="3"/>
  <c r="N94" i="3"/>
  <c r="M94" i="3"/>
  <c r="M96" i="3" s="1"/>
  <c r="R93" i="3"/>
  <c r="Q93" i="3"/>
  <c r="P93" i="3"/>
  <c r="O93" i="3"/>
  <c r="N93" i="3"/>
  <c r="M89" i="3"/>
  <c r="R86" i="3"/>
  <c r="R85" i="3"/>
  <c r="R82" i="3"/>
  <c r="Q82" i="3"/>
  <c r="Q96" i="3" s="1"/>
  <c r="P82" i="3"/>
  <c r="O82" i="3"/>
  <c r="N82" i="3"/>
  <c r="G65" i="3"/>
  <c r="G64" i="3"/>
  <c r="T63" i="3"/>
  <c r="N57" i="3"/>
  <c r="O57" i="3" s="1"/>
  <c r="P57" i="3" s="1"/>
  <c r="Q57" i="3" s="1"/>
  <c r="R57" i="3" s="1"/>
  <c r="S57" i="3" s="1"/>
  <c r="T57" i="3" s="1"/>
  <c r="U57" i="3" s="1"/>
  <c r="V57" i="3" s="1"/>
  <c r="W57" i="3" s="1"/>
  <c r="X57" i="3" s="1"/>
  <c r="Y57" i="3" s="1"/>
  <c r="Z57" i="3" s="1"/>
  <c r="AA57" i="3" s="1"/>
  <c r="AB57" i="3" s="1"/>
  <c r="AC57" i="3" s="1"/>
  <c r="AD57" i="3" s="1"/>
  <c r="AE57" i="3" s="1"/>
  <c r="AF57" i="3" s="1"/>
  <c r="AG57" i="3" s="1"/>
  <c r="W53" i="3"/>
  <c r="M53" i="3"/>
  <c r="O47" i="3"/>
  <c r="N47" i="3"/>
  <c r="E44" i="3"/>
  <c r="M58" i="3" s="1"/>
  <c r="N58" i="3" s="1"/>
  <c r="O58" i="3" s="1"/>
  <c r="P58" i="3" s="1"/>
  <c r="Q58" i="3" s="1"/>
  <c r="R58" i="3" s="1"/>
  <c r="S58" i="3" s="1"/>
  <c r="T58" i="3" s="1"/>
  <c r="U58" i="3" s="1"/>
  <c r="V58" i="3" s="1"/>
  <c r="W58" i="3" s="1"/>
  <c r="X58" i="3" s="1"/>
  <c r="Y58" i="3" s="1"/>
  <c r="Z58" i="3" s="1"/>
  <c r="AA58" i="3" s="1"/>
  <c r="AB58" i="3" s="1"/>
  <c r="AC58" i="3" s="1"/>
  <c r="AD58" i="3" s="1"/>
  <c r="AE58" i="3" s="1"/>
  <c r="AF58" i="3" s="1"/>
  <c r="I24" i="3"/>
  <c r="I23" i="3"/>
  <c r="M21" i="3"/>
  <c r="N21" i="3" s="1"/>
  <c r="O20" i="3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N20" i="3"/>
  <c r="E18" i="3"/>
  <c r="W17" i="3"/>
  <c r="M17" i="3"/>
  <c r="M16" i="3"/>
  <c r="M23" i="3" s="1"/>
  <c r="AG13" i="3"/>
  <c r="AG12" i="3"/>
  <c r="N11" i="3"/>
  <c r="O11" i="3" s="1"/>
  <c r="M97" i="2"/>
  <c r="M96" i="2"/>
  <c r="M95" i="2"/>
  <c r="S93" i="2"/>
  <c r="T93" i="2"/>
  <c r="U93" i="2"/>
  <c r="V93" i="2"/>
  <c r="W93" i="2"/>
  <c r="R91" i="2"/>
  <c r="S91" i="2"/>
  <c r="T91" i="2"/>
  <c r="U91" i="2"/>
  <c r="V91" i="2"/>
  <c r="T90" i="2"/>
  <c r="U90" i="2"/>
  <c r="V90" i="2" s="1"/>
  <c r="W90" i="2" s="1"/>
  <c r="S90" i="2"/>
  <c r="R87" i="2"/>
  <c r="W84" i="2"/>
  <c r="W83" i="2"/>
  <c r="W82" i="2"/>
  <c r="V82" i="2"/>
  <c r="U82" i="2"/>
  <c r="T82" i="2"/>
  <c r="S82" i="2"/>
  <c r="G99" i="2"/>
  <c r="G98" i="2"/>
  <c r="Q91" i="2"/>
  <c r="Q93" i="2" s="1"/>
  <c r="P91" i="2"/>
  <c r="P93" i="2" s="1"/>
  <c r="O91" i="2"/>
  <c r="N91" i="2"/>
  <c r="M91" i="2"/>
  <c r="R90" i="2"/>
  <c r="Q90" i="2"/>
  <c r="P90" i="2"/>
  <c r="O90" i="2"/>
  <c r="N90" i="2"/>
  <c r="M87" i="2"/>
  <c r="M93" i="2" s="1"/>
  <c r="R84" i="2"/>
  <c r="R83" i="2"/>
  <c r="R82" i="2"/>
  <c r="Q82" i="2"/>
  <c r="P82" i="2"/>
  <c r="O82" i="2"/>
  <c r="O93" i="2" s="1"/>
  <c r="N82" i="2"/>
  <c r="N93" i="2" s="1"/>
  <c r="G65" i="2"/>
  <c r="G64" i="2"/>
  <c r="T63" i="2"/>
  <c r="O57" i="2"/>
  <c r="P57" i="2" s="1"/>
  <c r="Q57" i="2" s="1"/>
  <c r="R57" i="2" s="1"/>
  <c r="S57" i="2" s="1"/>
  <c r="T57" i="2" s="1"/>
  <c r="U57" i="2" s="1"/>
  <c r="V57" i="2" s="1"/>
  <c r="W57" i="2" s="1"/>
  <c r="X57" i="2" s="1"/>
  <c r="Y57" i="2" s="1"/>
  <c r="Z57" i="2" s="1"/>
  <c r="AA57" i="2" s="1"/>
  <c r="AB57" i="2" s="1"/>
  <c r="AC57" i="2" s="1"/>
  <c r="AD57" i="2" s="1"/>
  <c r="AE57" i="2" s="1"/>
  <c r="AF57" i="2" s="1"/>
  <c r="AG57" i="2" s="1"/>
  <c r="N57" i="2"/>
  <c r="N47" i="2"/>
  <c r="O47" i="2" s="1"/>
  <c r="E44" i="2"/>
  <c r="M53" i="2" s="1"/>
  <c r="W53" i="2" s="1"/>
  <c r="I24" i="2"/>
  <c r="I23" i="2"/>
  <c r="O21" i="2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AA21" i="2" s="1"/>
  <c r="AB21" i="2" s="1"/>
  <c r="AC21" i="2" s="1"/>
  <c r="AD21" i="2" s="1"/>
  <c r="AE21" i="2" s="1"/>
  <c r="AF21" i="2" s="1"/>
  <c r="N21" i="2"/>
  <c r="M21" i="2"/>
  <c r="O20" i="2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N20" i="2"/>
  <c r="E18" i="2"/>
  <c r="W17" i="2"/>
  <c r="M17" i="2"/>
  <c r="M16" i="2"/>
  <c r="M23" i="2" s="1"/>
  <c r="AG13" i="2"/>
  <c r="AG12" i="2"/>
  <c r="N11" i="2"/>
  <c r="O11" i="2" s="1"/>
  <c r="M97" i="1"/>
  <c r="M96" i="1"/>
  <c r="M95" i="1"/>
  <c r="G99" i="1"/>
  <c r="G98" i="1"/>
  <c r="F99" i="1"/>
  <c r="F98" i="1"/>
  <c r="E97" i="1"/>
  <c r="E99" i="1"/>
  <c r="R93" i="1"/>
  <c r="Q93" i="1"/>
  <c r="P93" i="1"/>
  <c r="O93" i="1"/>
  <c r="N93" i="1"/>
  <c r="M93" i="1"/>
  <c r="Q91" i="1"/>
  <c r="P91" i="1"/>
  <c r="O91" i="1"/>
  <c r="N91" i="1"/>
  <c r="M91" i="1"/>
  <c r="R90" i="1"/>
  <c r="Q90" i="1"/>
  <c r="P90" i="1"/>
  <c r="O90" i="1"/>
  <c r="N90" i="1"/>
  <c r="M87" i="1"/>
  <c r="R84" i="1"/>
  <c r="R83" i="1"/>
  <c r="R82" i="1"/>
  <c r="Q82" i="1"/>
  <c r="P82" i="1"/>
  <c r="O82" i="1"/>
  <c r="N82" i="1"/>
  <c r="M100" i="3" l="1"/>
  <c r="M99" i="3"/>
  <c r="N60" i="3"/>
  <c r="O60" i="3"/>
  <c r="O21" i="3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AD21" i="3" s="1"/>
  <c r="AE21" i="3" s="1"/>
  <c r="AF21" i="3" s="1"/>
  <c r="N23" i="3"/>
  <c r="G22" i="3"/>
  <c r="P11" i="3"/>
  <c r="E100" i="3"/>
  <c r="P47" i="3"/>
  <c r="M52" i="3"/>
  <c r="M60" i="3" s="1"/>
  <c r="M54" i="3"/>
  <c r="R54" i="3" s="1"/>
  <c r="W54" i="3" s="1"/>
  <c r="AB54" i="3" s="1"/>
  <c r="R93" i="2"/>
  <c r="P47" i="2"/>
  <c r="P11" i="2"/>
  <c r="O23" i="2"/>
  <c r="E97" i="2"/>
  <c r="G22" i="2"/>
  <c r="M58" i="2"/>
  <c r="N58" i="2" s="1"/>
  <c r="N23" i="2"/>
  <c r="M54" i="2"/>
  <c r="R54" i="2" s="1"/>
  <c r="W54" i="2" s="1"/>
  <c r="AB54" i="2" s="1"/>
  <c r="M52" i="2"/>
  <c r="M60" i="2" s="1"/>
  <c r="G97" i="1"/>
  <c r="F101" i="3" l="1"/>
  <c r="E102" i="3"/>
  <c r="H23" i="3"/>
  <c r="G24" i="3"/>
  <c r="M30" i="3" s="1"/>
  <c r="P60" i="3"/>
  <c r="Q47" i="3"/>
  <c r="E63" i="3"/>
  <c r="O23" i="3"/>
  <c r="Q11" i="3"/>
  <c r="P23" i="3"/>
  <c r="Q47" i="2"/>
  <c r="E63" i="2"/>
  <c r="H23" i="2"/>
  <c r="G24" i="2"/>
  <c r="M30" i="2" s="1"/>
  <c r="E99" i="2"/>
  <c r="F98" i="2"/>
  <c r="N60" i="2"/>
  <c r="O58" i="2"/>
  <c r="Q11" i="2"/>
  <c r="P23" i="2"/>
  <c r="F102" i="3" l="1"/>
  <c r="G100" i="3" s="1"/>
  <c r="N34" i="3"/>
  <c r="M34" i="3"/>
  <c r="M36" i="3" s="1"/>
  <c r="N32" i="3"/>
  <c r="H24" i="3"/>
  <c r="H26" i="3" s="1"/>
  <c r="R11" i="3"/>
  <c r="Q23" i="3"/>
  <c r="Q60" i="3"/>
  <c r="R47" i="3"/>
  <c r="F64" i="3"/>
  <c r="E65" i="3"/>
  <c r="H24" i="2"/>
  <c r="H26" i="2" s="1"/>
  <c r="N32" i="2"/>
  <c r="M34" i="2"/>
  <c r="M36" i="2" s="1"/>
  <c r="N34" i="2"/>
  <c r="R47" i="2"/>
  <c r="Q23" i="2"/>
  <c r="R11" i="2"/>
  <c r="P58" i="2"/>
  <c r="O60" i="2"/>
  <c r="F64" i="2"/>
  <c r="E65" i="2"/>
  <c r="F99" i="2"/>
  <c r="G97" i="2" s="1"/>
  <c r="R23" i="3" l="1"/>
  <c r="S11" i="3"/>
  <c r="N31" i="3"/>
  <c r="N30" i="3" s="1"/>
  <c r="O34" i="3"/>
  <c r="N36" i="3"/>
  <c r="G63" i="3"/>
  <c r="S47" i="3"/>
  <c r="R60" i="3"/>
  <c r="M68" i="3"/>
  <c r="F65" i="3"/>
  <c r="N31" i="2"/>
  <c r="N30" i="2" s="1"/>
  <c r="O34" i="2"/>
  <c r="N36" i="2"/>
  <c r="M68" i="2"/>
  <c r="F65" i="2"/>
  <c r="G63" i="2" s="1"/>
  <c r="S47" i="2"/>
  <c r="Q58" i="2"/>
  <c r="P60" i="2"/>
  <c r="R23" i="2"/>
  <c r="S11" i="2"/>
  <c r="N68" i="3" l="1"/>
  <c r="M70" i="3"/>
  <c r="T47" i="3"/>
  <c r="S60" i="3"/>
  <c r="T11" i="3"/>
  <c r="S23" i="3"/>
  <c r="O32" i="3"/>
  <c r="O31" i="3"/>
  <c r="O30" i="3" s="1"/>
  <c r="P34" i="3"/>
  <c r="O36" i="3"/>
  <c r="P34" i="2"/>
  <c r="O36" i="2"/>
  <c r="O32" i="2"/>
  <c r="O31" i="2" s="1"/>
  <c r="O30" i="2" s="1"/>
  <c r="S23" i="2"/>
  <c r="T11" i="2"/>
  <c r="R58" i="2"/>
  <c r="Q60" i="2"/>
  <c r="T47" i="2"/>
  <c r="N68" i="2"/>
  <c r="M70" i="2"/>
  <c r="P32" i="3" l="1"/>
  <c r="P31" i="3" s="1"/>
  <c r="P30" i="3" s="1"/>
  <c r="T23" i="3"/>
  <c r="U11" i="3"/>
  <c r="U47" i="3"/>
  <c r="T60" i="3"/>
  <c r="Q34" i="3"/>
  <c r="P36" i="3"/>
  <c r="O68" i="3"/>
  <c r="N70" i="3"/>
  <c r="P32" i="2"/>
  <c r="O68" i="2"/>
  <c r="N70" i="2"/>
  <c r="U47" i="2"/>
  <c r="Q34" i="2"/>
  <c r="P31" i="2"/>
  <c r="P30" i="2" s="1"/>
  <c r="P36" i="2"/>
  <c r="U11" i="2"/>
  <c r="T23" i="2"/>
  <c r="S58" i="2"/>
  <c r="R60" i="2"/>
  <c r="Q32" i="3" l="1"/>
  <c r="V11" i="3"/>
  <c r="U23" i="3"/>
  <c r="R34" i="3"/>
  <c r="Q31" i="3"/>
  <c r="Q30" i="3" s="1"/>
  <c r="Q36" i="3"/>
  <c r="P68" i="3"/>
  <c r="O70" i="3"/>
  <c r="U60" i="3"/>
  <c r="V47" i="3"/>
  <c r="Q32" i="2"/>
  <c r="R34" i="2"/>
  <c r="Q31" i="2"/>
  <c r="Q30" i="2" s="1"/>
  <c r="Q36" i="2"/>
  <c r="V47" i="2"/>
  <c r="V11" i="2"/>
  <c r="U23" i="2"/>
  <c r="T58" i="2"/>
  <c r="S60" i="2"/>
  <c r="P68" i="2"/>
  <c r="O70" i="2"/>
  <c r="R32" i="3" l="1"/>
  <c r="R31" i="3" s="1"/>
  <c r="R30" i="3" s="1"/>
  <c r="S34" i="3"/>
  <c r="R36" i="3"/>
  <c r="W11" i="3"/>
  <c r="V23" i="3"/>
  <c r="W47" i="3"/>
  <c r="V60" i="3"/>
  <c r="Q68" i="3"/>
  <c r="P70" i="3"/>
  <c r="R32" i="2"/>
  <c r="W47" i="2"/>
  <c r="U58" i="2"/>
  <c r="T60" i="2"/>
  <c r="W11" i="2"/>
  <c r="V23" i="2"/>
  <c r="S34" i="2"/>
  <c r="R31" i="2"/>
  <c r="R30" i="2" s="1"/>
  <c r="R36" i="2"/>
  <c r="Q68" i="2"/>
  <c r="P70" i="2"/>
  <c r="S32" i="3" l="1"/>
  <c r="S31" i="3" s="1"/>
  <c r="S30" i="3" s="1"/>
  <c r="X11" i="3"/>
  <c r="W23" i="3"/>
  <c r="R68" i="3"/>
  <c r="Q70" i="3"/>
  <c r="W60" i="3"/>
  <c r="X47" i="3"/>
  <c r="T34" i="3"/>
  <c r="S36" i="3"/>
  <c r="S32" i="2"/>
  <c r="R68" i="2"/>
  <c r="Q70" i="2"/>
  <c r="T34" i="2"/>
  <c r="S31" i="2"/>
  <c r="S30" i="2" s="1"/>
  <c r="S36" i="2"/>
  <c r="X11" i="2"/>
  <c r="W23" i="2"/>
  <c r="V58" i="2"/>
  <c r="U60" i="2"/>
  <c r="X47" i="2"/>
  <c r="T32" i="3" l="1"/>
  <c r="U34" i="3"/>
  <c r="T31" i="3"/>
  <c r="T30" i="3" s="1"/>
  <c r="T36" i="3"/>
  <c r="S68" i="3"/>
  <c r="R70" i="3"/>
  <c r="X60" i="3"/>
  <c r="Y47" i="3"/>
  <c r="Y11" i="3"/>
  <c r="X23" i="3"/>
  <c r="T32" i="2"/>
  <c r="S68" i="2"/>
  <c r="R70" i="2"/>
  <c r="W58" i="2"/>
  <c r="V60" i="2"/>
  <c r="X23" i="2"/>
  <c r="Y11" i="2"/>
  <c r="T31" i="2"/>
  <c r="T30" i="2" s="1"/>
  <c r="U34" i="2"/>
  <c r="T36" i="2"/>
  <c r="Y47" i="2"/>
  <c r="U32" i="3" l="1"/>
  <c r="V34" i="3"/>
  <c r="U31" i="3"/>
  <c r="U30" i="3" s="1"/>
  <c r="U36" i="3"/>
  <c r="T68" i="3"/>
  <c r="S70" i="3"/>
  <c r="Z11" i="3"/>
  <c r="Y23" i="3"/>
  <c r="Y60" i="3"/>
  <c r="Z47" i="3"/>
  <c r="U32" i="2"/>
  <c r="Z47" i="2"/>
  <c r="X58" i="2"/>
  <c r="W60" i="2"/>
  <c r="T68" i="2"/>
  <c r="S70" i="2"/>
  <c r="U31" i="2"/>
  <c r="U30" i="2" s="1"/>
  <c r="V34" i="2"/>
  <c r="U36" i="2"/>
  <c r="Y23" i="2"/>
  <c r="Z11" i="2"/>
  <c r="V32" i="3" l="1"/>
  <c r="U68" i="3"/>
  <c r="T70" i="3"/>
  <c r="AA47" i="3"/>
  <c r="Z60" i="3"/>
  <c r="V31" i="3"/>
  <c r="V30" i="3" s="1"/>
  <c r="W34" i="3"/>
  <c r="V36" i="3"/>
  <c r="Z23" i="3"/>
  <c r="AA11" i="3"/>
  <c r="V32" i="2"/>
  <c r="V30" i="2"/>
  <c r="Z23" i="2"/>
  <c r="AA11" i="2"/>
  <c r="Y58" i="2"/>
  <c r="X60" i="2"/>
  <c r="AA47" i="2"/>
  <c r="V31" i="2"/>
  <c r="W34" i="2"/>
  <c r="V36" i="2"/>
  <c r="U68" i="2"/>
  <c r="T70" i="2"/>
  <c r="W32" i="3" l="1"/>
  <c r="W31" i="3" s="1"/>
  <c r="W30" i="3" s="1"/>
  <c r="X34" i="3"/>
  <c r="W36" i="3"/>
  <c r="AA23" i="3"/>
  <c r="AB11" i="3"/>
  <c r="AB47" i="3"/>
  <c r="AA60" i="3"/>
  <c r="V68" i="3"/>
  <c r="U70" i="3"/>
  <c r="AB47" i="2"/>
  <c r="V68" i="2"/>
  <c r="U70" i="2"/>
  <c r="X34" i="2"/>
  <c r="W31" i="2"/>
  <c r="W36" i="2"/>
  <c r="W30" i="2"/>
  <c r="W32" i="2"/>
  <c r="Z58" i="2"/>
  <c r="Y60" i="2"/>
  <c r="AA23" i="2"/>
  <c r="AB11" i="2"/>
  <c r="X32" i="3" l="1"/>
  <c r="X30" i="3"/>
  <c r="AB23" i="3"/>
  <c r="AC11" i="3"/>
  <c r="W68" i="3"/>
  <c r="V70" i="3"/>
  <c r="Y34" i="3"/>
  <c r="X31" i="3"/>
  <c r="X36" i="3"/>
  <c r="AC47" i="3"/>
  <c r="AB60" i="3"/>
  <c r="Y34" i="2"/>
  <c r="X36" i="2"/>
  <c r="AC11" i="2"/>
  <c r="AB23" i="2"/>
  <c r="AA58" i="2"/>
  <c r="Z60" i="2"/>
  <c r="W68" i="2"/>
  <c r="V70" i="2"/>
  <c r="AC47" i="2"/>
  <c r="X32" i="2"/>
  <c r="X31" i="2" s="1"/>
  <c r="X30" i="2" s="1"/>
  <c r="Z34" i="3" l="1"/>
  <c r="Y36" i="3"/>
  <c r="X68" i="3"/>
  <c r="W70" i="3"/>
  <c r="Y32" i="3"/>
  <c r="Y31" i="3" s="1"/>
  <c r="Y30" i="3" s="1"/>
  <c r="AC60" i="3"/>
  <c r="AD47" i="3"/>
  <c r="AD11" i="3"/>
  <c r="AC23" i="3"/>
  <c r="Y32" i="2"/>
  <c r="AD11" i="2"/>
  <c r="AC23" i="2"/>
  <c r="AB58" i="2"/>
  <c r="AA60" i="2"/>
  <c r="AD47" i="2"/>
  <c r="X68" i="2"/>
  <c r="W70" i="2"/>
  <c r="Z34" i="2"/>
  <c r="Y31" i="2"/>
  <c r="Y30" i="2" s="1"/>
  <c r="Y36" i="2"/>
  <c r="Z32" i="3" l="1"/>
  <c r="AE11" i="3"/>
  <c r="AD23" i="3"/>
  <c r="AD36" i="3" s="1"/>
  <c r="Y68" i="3"/>
  <c r="X70" i="3"/>
  <c r="AD60" i="3"/>
  <c r="AD70" i="3" s="1"/>
  <c r="AE47" i="3"/>
  <c r="AA34" i="3"/>
  <c r="Z31" i="3"/>
  <c r="Z30" i="3" s="1"/>
  <c r="Z36" i="3"/>
  <c r="Z32" i="2"/>
  <c r="AC58" i="2"/>
  <c r="AB60" i="2"/>
  <c r="AA34" i="2"/>
  <c r="Z31" i="2"/>
  <c r="Z30" i="2" s="1"/>
  <c r="Z36" i="2"/>
  <c r="AE11" i="2"/>
  <c r="AD23" i="2"/>
  <c r="AD36" i="2" s="1"/>
  <c r="Y68" i="2"/>
  <c r="X70" i="2"/>
  <c r="AE47" i="2"/>
  <c r="AA32" i="3" l="1"/>
  <c r="Z68" i="3"/>
  <c r="Y70" i="3"/>
  <c r="AF11" i="3"/>
  <c r="AE23" i="3"/>
  <c r="AE36" i="3" s="1"/>
  <c r="AB34" i="3"/>
  <c r="AA31" i="3"/>
  <c r="AA30" i="3" s="1"/>
  <c r="AA36" i="3"/>
  <c r="AE60" i="3"/>
  <c r="AE70" i="3" s="1"/>
  <c r="AF47" i="3"/>
  <c r="AA32" i="2"/>
  <c r="Z68" i="2"/>
  <c r="Y70" i="2"/>
  <c r="AF47" i="2"/>
  <c r="AB34" i="2"/>
  <c r="AA31" i="2"/>
  <c r="AA30" i="2" s="1"/>
  <c r="AA36" i="2"/>
  <c r="AD58" i="2"/>
  <c r="AC60" i="2"/>
  <c r="AF11" i="2"/>
  <c r="AE23" i="2"/>
  <c r="AE36" i="2" s="1"/>
  <c r="AB32" i="3" l="1"/>
  <c r="AB31" i="3" s="1"/>
  <c r="AB30" i="3" s="1"/>
  <c r="AF23" i="3"/>
  <c r="AF36" i="3" s="1"/>
  <c r="AG11" i="3"/>
  <c r="AG23" i="3" s="1"/>
  <c r="AA68" i="3"/>
  <c r="Z70" i="3"/>
  <c r="AF60" i="3"/>
  <c r="AF70" i="3" s="1"/>
  <c r="AG47" i="3"/>
  <c r="AG60" i="3" s="1"/>
  <c r="AC34" i="3"/>
  <c r="AB36" i="3"/>
  <c r="AB32" i="2"/>
  <c r="AB31" i="2"/>
  <c r="AB30" i="2" s="1"/>
  <c r="AC34" i="2"/>
  <c r="AB36" i="2"/>
  <c r="AG47" i="2"/>
  <c r="AG60" i="2" s="1"/>
  <c r="AG11" i="2"/>
  <c r="AG23" i="2" s="1"/>
  <c r="AF23" i="2"/>
  <c r="AF36" i="2" s="1"/>
  <c r="AE58" i="2"/>
  <c r="AD60" i="2"/>
  <c r="AD70" i="2" s="1"/>
  <c r="AA68" i="2"/>
  <c r="Z70" i="2"/>
  <c r="AC32" i="3" l="1"/>
  <c r="AG70" i="3"/>
  <c r="N64" i="3"/>
  <c r="N62" i="3"/>
  <c r="AB68" i="3"/>
  <c r="AA70" i="3"/>
  <c r="AC31" i="3"/>
  <c r="AC30" i="3" s="1"/>
  <c r="AC36" i="3"/>
  <c r="AG36" i="3"/>
  <c r="N26" i="3"/>
  <c r="N24" i="3"/>
  <c r="N25" i="3" s="1"/>
  <c r="AC32" i="2"/>
  <c r="AB68" i="2"/>
  <c r="AA70" i="2"/>
  <c r="AG36" i="2"/>
  <c r="N26" i="2"/>
  <c r="N24" i="2"/>
  <c r="N25" i="2" s="1"/>
  <c r="AG70" i="2"/>
  <c r="AC31" i="2"/>
  <c r="AC30" i="2" s="1"/>
  <c r="AC36" i="2"/>
  <c r="AF58" i="2"/>
  <c r="AF60" i="2" s="1"/>
  <c r="AF70" i="2" s="1"/>
  <c r="AE60" i="2"/>
  <c r="AE70" i="2" s="1"/>
  <c r="AC68" i="3" l="1"/>
  <c r="AC70" i="3" s="1"/>
  <c r="AB70" i="3"/>
  <c r="N63" i="3"/>
  <c r="T64" i="3" s="1"/>
  <c r="N40" i="3"/>
  <c r="N74" i="2"/>
  <c r="AC68" i="2"/>
  <c r="AC70" i="2" s="1"/>
  <c r="AB70" i="2"/>
  <c r="N72" i="2" s="1"/>
  <c r="N73" i="2" s="1"/>
  <c r="N62" i="2"/>
  <c r="N38" i="2"/>
  <c r="N40" i="2"/>
  <c r="N64" i="2"/>
  <c r="N72" i="3" l="1"/>
  <c r="N73" i="3"/>
  <c r="R63" i="3"/>
  <c r="N74" i="3"/>
  <c r="N39" i="3"/>
  <c r="V26" i="3"/>
  <c r="N39" i="2"/>
  <c r="V26" i="2"/>
  <c r="R63" i="2"/>
  <c r="N63" i="2"/>
  <c r="T64" i="2" s="1"/>
  <c r="N62" i="1" l="1"/>
  <c r="N63" i="1" s="1"/>
  <c r="T63" i="1"/>
  <c r="G64" i="1"/>
  <c r="G65" i="1"/>
  <c r="N57" i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AC57" i="1" s="1"/>
  <c r="AD57" i="1" s="1"/>
  <c r="AE57" i="1" s="1"/>
  <c r="AF57" i="1" s="1"/>
  <c r="AG57" i="1" s="1"/>
  <c r="O47" i="1"/>
  <c r="N47" i="1"/>
  <c r="P47" i="1" l="1"/>
  <c r="Q47" i="1" l="1"/>
  <c r="R47" i="1" l="1"/>
  <c r="S47" i="1" l="1"/>
  <c r="T47" i="1" l="1"/>
  <c r="U47" i="1" l="1"/>
  <c r="V47" i="1" l="1"/>
  <c r="W47" i="1" l="1"/>
  <c r="X47" i="1" l="1"/>
  <c r="Y47" i="1" l="1"/>
  <c r="Z47" i="1" l="1"/>
  <c r="AA47" i="1" l="1"/>
  <c r="AB47" i="1" l="1"/>
  <c r="AC47" i="1" l="1"/>
  <c r="AD47" i="1" l="1"/>
  <c r="AE47" i="1" l="1"/>
  <c r="AF47" i="1" l="1"/>
  <c r="AG47" i="1" l="1"/>
  <c r="AG60" i="1" s="1"/>
  <c r="AG70" i="1" s="1"/>
  <c r="I23" i="1" l="1"/>
  <c r="I24" i="1"/>
  <c r="M21" i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O20" i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N20" i="1"/>
  <c r="M17" i="1"/>
  <c r="W17" i="1" s="1"/>
  <c r="M16" i="1"/>
  <c r="M23" i="1" s="1"/>
  <c r="AG13" i="1"/>
  <c r="AG12" i="1"/>
  <c r="G22" i="1" l="1"/>
  <c r="E44" i="1"/>
  <c r="E18" i="1"/>
  <c r="N11" i="1" s="1"/>
  <c r="M54" i="1" l="1"/>
  <c r="R54" i="1" s="1"/>
  <c r="M58" i="1"/>
  <c r="N58" i="1" s="1"/>
  <c r="M53" i="1"/>
  <c r="W53" i="1" s="1"/>
  <c r="M52" i="1"/>
  <c r="M60" i="1" s="1"/>
  <c r="G24" i="1"/>
  <c r="M30" i="1" s="1"/>
  <c r="H23" i="1"/>
  <c r="H24" i="1" s="1"/>
  <c r="H26" i="1" s="1"/>
  <c r="O11" i="1"/>
  <c r="N23" i="1"/>
  <c r="E63" i="1" l="1"/>
  <c r="P11" i="1"/>
  <c r="O23" i="1"/>
  <c r="M34" i="1"/>
  <c r="M36" i="1" s="1"/>
  <c r="N32" i="1"/>
  <c r="N34" i="1"/>
  <c r="O58" i="1"/>
  <c r="N60" i="1"/>
  <c r="W54" i="1"/>
  <c r="AB54" i="1" s="1"/>
  <c r="O34" i="1" l="1"/>
  <c r="P34" i="1" s="1"/>
  <c r="P31" i="1" s="1"/>
  <c r="P30" i="1" s="1"/>
  <c r="Q32" i="1" s="1"/>
  <c r="N31" i="1"/>
  <c r="N30" i="1" s="1"/>
  <c r="O32" i="1" s="1"/>
  <c r="O31" i="1" s="1"/>
  <c r="O30" i="1" s="1"/>
  <c r="P32" i="1" s="1"/>
  <c r="Q11" i="1"/>
  <c r="P23" i="1"/>
  <c r="P58" i="1"/>
  <c r="O60" i="1"/>
  <c r="N36" i="1"/>
  <c r="E65" i="1"/>
  <c r="F64" i="1"/>
  <c r="M68" i="1" l="1"/>
  <c r="F65" i="1"/>
  <c r="G63" i="1" s="1"/>
  <c r="R11" i="1"/>
  <c r="Q23" i="1"/>
  <c r="P36" i="1"/>
  <c r="Q34" i="1"/>
  <c r="Q58" i="1"/>
  <c r="P60" i="1"/>
  <c r="O36" i="1"/>
  <c r="R34" i="1"/>
  <c r="Q36" i="1"/>
  <c r="Q31" i="1"/>
  <c r="Q30" i="1" s="1"/>
  <c r="S11" i="1" l="1"/>
  <c r="R23" i="1"/>
  <c r="R58" i="1"/>
  <c r="Q60" i="1"/>
  <c r="N68" i="1"/>
  <c r="M70" i="1"/>
  <c r="S34" i="1"/>
  <c r="R32" i="1"/>
  <c r="R31" i="1" s="1"/>
  <c r="R30" i="1"/>
  <c r="S32" i="1" s="1"/>
  <c r="T11" i="1" l="1"/>
  <c r="S23" i="1"/>
  <c r="O68" i="1"/>
  <c r="N70" i="1"/>
  <c r="S58" i="1"/>
  <c r="R60" i="1"/>
  <c r="R36" i="1"/>
  <c r="S31" i="1"/>
  <c r="S30" i="1" s="1"/>
  <c r="T32" i="1" s="1"/>
  <c r="T34" i="1"/>
  <c r="S36" i="1"/>
  <c r="T58" i="1" l="1"/>
  <c r="S60" i="1"/>
  <c r="U11" i="1"/>
  <c r="T23" i="1"/>
  <c r="T36" i="1" s="1"/>
  <c r="P68" i="1"/>
  <c r="O70" i="1"/>
  <c r="U34" i="1"/>
  <c r="T31" i="1"/>
  <c r="T30" i="1" s="1"/>
  <c r="U32" i="1" s="1"/>
  <c r="V11" i="1" l="1"/>
  <c r="U23" i="1"/>
  <c r="U36" i="1" s="1"/>
  <c r="U58" i="1"/>
  <c r="T60" i="1"/>
  <c r="Q68" i="1"/>
  <c r="P70" i="1"/>
  <c r="U31" i="1"/>
  <c r="U30" i="1" s="1"/>
  <c r="V32" i="1" s="1"/>
  <c r="V34" i="1"/>
  <c r="V58" i="1" l="1"/>
  <c r="U60" i="1"/>
  <c r="W11" i="1"/>
  <c r="V23" i="1"/>
  <c r="V36" i="1" s="1"/>
  <c r="R68" i="1"/>
  <c r="Q70" i="1"/>
  <c r="W34" i="1"/>
  <c r="V31" i="1"/>
  <c r="V30" i="1" s="1"/>
  <c r="W32" i="1" s="1"/>
  <c r="W31" i="1" s="1"/>
  <c r="W30" i="1" s="1"/>
  <c r="X32" i="1" s="1"/>
  <c r="S68" i="1" l="1"/>
  <c r="R70" i="1"/>
  <c r="X11" i="1"/>
  <c r="W23" i="1"/>
  <c r="W36" i="1" s="1"/>
  <c r="W58" i="1"/>
  <c r="V60" i="1"/>
  <c r="X34" i="1"/>
  <c r="X58" i="1" l="1"/>
  <c r="W60" i="1"/>
  <c r="Y11" i="1"/>
  <c r="X23" i="1"/>
  <c r="T68" i="1"/>
  <c r="S70" i="1"/>
  <c r="Y34" i="1"/>
  <c r="X36" i="1"/>
  <c r="X31" i="1"/>
  <c r="X30" i="1" s="1"/>
  <c r="Y32" i="1" s="1"/>
  <c r="U68" i="1" l="1"/>
  <c r="T70" i="1"/>
  <c r="Z11" i="1"/>
  <c r="Y23" i="1"/>
  <c r="Y36" i="1" s="1"/>
  <c r="Y31" i="1"/>
  <c r="Y30" i="1" s="1"/>
  <c r="Z32" i="1" s="1"/>
  <c r="Y58" i="1"/>
  <c r="X60" i="1"/>
  <c r="Z34" i="1"/>
  <c r="Z58" i="1" l="1"/>
  <c r="Y60" i="1"/>
  <c r="AA11" i="1"/>
  <c r="Z23" i="1"/>
  <c r="Z36" i="1" s="1"/>
  <c r="V68" i="1"/>
  <c r="U70" i="1"/>
  <c r="Z31" i="1"/>
  <c r="Z30" i="1" s="1"/>
  <c r="AA32" i="1" s="1"/>
  <c r="AA34" i="1"/>
  <c r="W68" i="1" l="1"/>
  <c r="V70" i="1"/>
  <c r="AB11" i="1"/>
  <c r="AA23" i="1"/>
  <c r="AA36" i="1" s="1"/>
  <c r="AA58" i="1"/>
  <c r="Z60" i="1"/>
  <c r="AB34" i="1"/>
  <c r="AA31" i="1"/>
  <c r="AA30" i="1" s="1"/>
  <c r="AB32" i="1" s="1"/>
  <c r="AB58" i="1" l="1"/>
  <c r="AA60" i="1"/>
  <c r="AC11" i="1"/>
  <c r="AB23" i="1"/>
  <c r="AB36" i="1" s="1"/>
  <c r="X68" i="1"/>
  <c r="W70" i="1"/>
  <c r="AC34" i="1"/>
  <c r="AB31" i="1"/>
  <c r="AB30" i="1" s="1"/>
  <c r="AC32" i="1" s="1"/>
  <c r="Y68" i="1" l="1"/>
  <c r="X70" i="1"/>
  <c r="AD11" i="1"/>
  <c r="AC23" i="1"/>
  <c r="AC58" i="1"/>
  <c r="AB60" i="1"/>
  <c r="AC36" i="1"/>
  <c r="AC31" i="1"/>
  <c r="AC30" i="1" s="1"/>
  <c r="AD58" i="1" l="1"/>
  <c r="AC60" i="1"/>
  <c r="AE11" i="1"/>
  <c r="AD23" i="1"/>
  <c r="AD36" i="1" s="1"/>
  <c r="Z68" i="1"/>
  <c r="Y70" i="1"/>
  <c r="AA68" i="1" l="1"/>
  <c r="Z70" i="1"/>
  <c r="AF11" i="1"/>
  <c r="AE23" i="1"/>
  <c r="AE36" i="1" s="1"/>
  <c r="AE58" i="1"/>
  <c r="AD60" i="1"/>
  <c r="AD70" i="1" s="1"/>
  <c r="AF58" i="1" l="1"/>
  <c r="AF60" i="1" s="1"/>
  <c r="AE60" i="1"/>
  <c r="AE70" i="1" s="1"/>
  <c r="AG11" i="1"/>
  <c r="AG23" i="1" s="1"/>
  <c r="AF23" i="1"/>
  <c r="AF36" i="1" s="1"/>
  <c r="AB68" i="1"/>
  <c r="AA70" i="1"/>
  <c r="AC68" i="1" l="1"/>
  <c r="AC70" i="1" s="1"/>
  <c r="AB70" i="1"/>
  <c r="AG36" i="1"/>
  <c r="N26" i="1"/>
  <c r="N24" i="1"/>
  <c r="N25" i="1" s="1"/>
  <c r="AF70" i="1"/>
  <c r="N64" i="1"/>
  <c r="T64" i="1" l="1"/>
  <c r="N72" i="1"/>
  <c r="N73" i="1" s="1"/>
  <c r="N74" i="1"/>
  <c r="N38" i="1"/>
  <c r="N40" i="1"/>
  <c r="V26" i="1" l="1"/>
  <c r="N39" i="1"/>
  <c r="R63" i="1"/>
</calcChain>
</file>

<file path=xl/sharedStrings.xml><?xml version="1.0" encoding="utf-8"?>
<sst xmlns="http://schemas.openxmlformats.org/spreadsheetml/2006/main" count="551" uniqueCount="96">
  <si>
    <t>Ihnen unzählige Optionen zur Verfügung, näher in Betracht ziehen Sie allerdings folgende</t>
  </si>
  <si>
    <t>Optionen:</t>
  </si>
  <si>
    <t>a)</t>
  </si>
  <si>
    <t>Investitionskosten</t>
  </si>
  <si>
    <t>Investition in eine Windkraftanlage mit 2,5 MW</t>
  </si>
  <si>
    <t>€</t>
  </si>
  <si>
    <t>davon langfristig</t>
  </si>
  <si>
    <t>ND</t>
  </si>
  <si>
    <t>Jahre</t>
  </si>
  <si>
    <t>davon mittelfristig</t>
  </si>
  <si>
    <t>davon kurzfristig</t>
  </si>
  <si>
    <t>Betriebskosten pro Jahr</t>
  </si>
  <si>
    <t>€/a</t>
  </si>
  <si>
    <t>Stromproduktion</t>
  </si>
  <si>
    <t>kWh el/a</t>
  </si>
  <si>
    <t>Vergütung</t>
  </si>
  <si>
    <t>ct/kWh</t>
  </si>
  <si>
    <t>Rückbaukosten</t>
  </si>
  <si>
    <t>Versicherung</t>
  </si>
  <si>
    <t>von A</t>
  </si>
  <si>
    <t>Finazierung</t>
  </si>
  <si>
    <t>Annuitätendarlen</t>
  </si>
  <si>
    <t>Laufzeit</t>
  </si>
  <si>
    <t>Zins</t>
  </si>
  <si>
    <t>b)</t>
  </si>
  <si>
    <t>Investition in eine PV Anlage mit 60 kW</t>
  </si>
  <si>
    <t>c)</t>
  </si>
  <si>
    <t>Investition in eine mit Gaskamera bestückte Drohne, zur Lekageerkennung</t>
  </si>
  <si>
    <t>d)</t>
  </si>
  <si>
    <t>Anlage des Geldes bei der Hausbank</t>
  </si>
  <si>
    <t>Zinsansatz</t>
  </si>
  <si>
    <t>Versicherung (vorschüßig)</t>
  </si>
  <si>
    <t>Vergütung bzw. Eigenverbrauch</t>
  </si>
  <si>
    <t>Honorar</t>
  </si>
  <si>
    <t>Restwert der Kamera</t>
  </si>
  <si>
    <t>benötigen werden. Diese EK möchten Sie daher möglichst optimal investieren. Hierfür stehen</t>
  </si>
  <si>
    <t>Anlagewert</t>
  </si>
  <si>
    <r>
      <t>Sie verfügen über</t>
    </r>
    <r>
      <rPr>
        <b/>
        <sz val="11"/>
        <rFont val="Calibri"/>
        <family val="2"/>
        <scheme val="minor"/>
      </rPr>
      <t xml:space="preserve"> 50.000 € Eigenkapital</t>
    </r>
    <r>
      <rPr>
        <sz val="11"/>
        <rFont val="Calibri"/>
        <family val="2"/>
        <scheme val="minor"/>
      </rPr>
      <t xml:space="preserve"> das Sie auf absehbare Zeit nicht für Konsumzwecke </t>
    </r>
  </si>
  <si>
    <t>Perioden</t>
  </si>
  <si>
    <t>Einzahlungen</t>
  </si>
  <si>
    <t>EEG Vergütung</t>
  </si>
  <si>
    <t>Freisestzung UVV</t>
  </si>
  <si>
    <t>Auszahlungen</t>
  </si>
  <si>
    <t>Invest langf.</t>
  </si>
  <si>
    <t>Invest mittelf.</t>
  </si>
  <si>
    <t>Bindung UVV</t>
  </si>
  <si>
    <t>Betriebskosten</t>
  </si>
  <si>
    <t>Restwert AV (Rückbau)</t>
  </si>
  <si>
    <t>CF I</t>
  </si>
  <si>
    <t>Kapitalwert</t>
  </si>
  <si>
    <t>äquivalente Annuität</t>
  </si>
  <si>
    <t>GK Verzinsung</t>
  </si>
  <si>
    <t>GK</t>
  </si>
  <si>
    <t>EK</t>
  </si>
  <si>
    <t>FK</t>
  </si>
  <si>
    <t>Mischzins</t>
  </si>
  <si>
    <t>(vereinf.)</t>
  </si>
  <si>
    <t xml:space="preserve"> =+NBW(+H26;N23:AG23)+M23</t>
  </si>
  <si>
    <t xml:space="preserve"> =-RMZ(H26;20;N24)</t>
  </si>
  <si>
    <t xml:space="preserve"> =+IKV(M23:AG23)</t>
  </si>
  <si>
    <t>Nr. Finanzierung:</t>
  </si>
  <si>
    <t>Schuldkonto</t>
  </si>
  <si>
    <t>Tilgung</t>
  </si>
  <si>
    <t>Annuität / Kap.dienst</t>
  </si>
  <si>
    <t>CF II</t>
  </si>
  <si>
    <t>äquiv. Annuität</t>
  </si>
  <si>
    <t>Eigenkapitalverz.</t>
  </si>
  <si>
    <t>Korrekter Mischzins:</t>
  </si>
  <si>
    <t>Differenz NBW CFI - CF II</t>
  </si>
  <si>
    <t xml:space="preserve">  &gt;=0 ---&gt;</t>
  </si>
  <si>
    <t>rentabel</t>
  </si>
  <si>
    <t xml:space="preserve"> &gt;=1,5%</t>
  </si>
  <si>
    <t>EEG + Eigenverbrauch</t>
  </si>
  <si>
    <t>Freisetzung UVV</t>
  </si>
  <si>
    <t>Restwert AV</t>
  </si>
  <si>
    <t>Invest langfr.</t>
  </si>
  <si>
    <t>Invest mittel.</t>
  </si>
  <si>
    <t>Invest kurzfr.</t>
  </si>
  <si>
    <t>Nr. Finanzierung</t>
  </si>
  <si>
    <t>Kapitaldienst</t>
  </si>
  <si>
    <t>EK Verzinsung</t>
  </si>
  <si>
    <t>Nr. Mischzins</t>
  </si>
  <si>
    <t>Ant. %</t>
  </si>
  <si>
    <t>p %</t>
  </si>
  <si>
    <t>(vereinfacht)</t>
  </si>
  <si>
    <t>Anzahl an PV Anlagen die mit 3,8 Mio € ca. gebaut werden könnte</t>
  </si>
  <si>
    <t>äAnnuität * 60 Anlagen…</t>
  </si>
  <si>
    <t>NBW CF I - NBW CFII</t>
  </si>
  <si>
    <t>echter Mischzins</t>
  </si>
  <si>
    <t>Investition kurzfr.</t>
  </si>
  <si>
    <t>vereinf. Mischzins</t>
  </si>
  <si>
    <t>Zinsen</t>
  </si>
  <si>
    <t>Kapitalrückfluss</t>
  </si>
  <si>
    <t>Kapitalanlage</t>
  </si>
  <si>
    <t>Nr. Kontostand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</si>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</sst>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0.000%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NumberFormat="1" applyFont="1" applyFill="1"/>
    <xf numFmtId="0" fontId="3" fillId="0" borderId="0" xfId="0" applyNumberFormat="1" applyFont="1" applyFill="1"/>
    <xf numFmtId="9" fontId="2" fillId="0" borderId="0" xfId="1" applyFont="1" applyFill="1"/>
    <xf numFmtId="10" fontId="2" fillId="0" borderId="0" xfId="1" applyNumberFormat="1" applyFont="1" applyFill="1"/>
    <xf numFmtId="0" fontId="2" fillId="2" borderId="0" xfId="0" applyNumberFormat="1" applyFont="1" applyFill="1"/>
    <xf numFmtId="0" fontId="3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4" fillId="0" borderId="0" xfId="0" applyNumberFormat="1" applyFont="1" applyFill="1"/>
    <xf numFmtId="0" fontId="2" fillId="3" borderId="0" xfId="0" applyNumberFormat="1" applyFont="1" applyFill="1"/>
    <xf numFmtId="9" fontId="2" fillId="0" borderId="0" xfId="0" applyNumberFormat="1" applyFont="1" applyFill="1"/>
    <xf numFmtId="10" fontId="2" fillId="3" borderId="0" xfId="1" applyNumberFormat="1" applyFont="1" applyFill="1"/>
    <xf numFmtId="10" fontId="2" fillId="3" borderId="0" xfId="0" applyNumberFormat="1" applyFont="1" applyFill="1"/>
    <xf numFmtId="10" fontId="2" fillId="0" borderId="0" xfId="0" applyNumberFormat="1" applyFont="1" applyFill="1"/>
    <xf numFmtId="0" fontId="5" fillId="3" borderId="0" xfId="0" applyNumberFormat="1" applyFont="1" applyFill="1"/>
    <xf numFmtId="1" fontId="2" fillId="0" borderId="0" xfId="0" applyNumberFormat="1" applyFont="1" applyFill="1"/>
    <xf numFmtId="0" fontId="6" fillId="0" borderId="0" xfId="0" applyNumberFormat="1" applyFont="1" applyFill="1"/>
    <xf numFmtId="10" fontId="6" fillId="0" borderId="0" xfId="0" applyNumberFormat="1" applyFont="1" applyFill="1"/>
    <xf numFmtId="1" fontId="6" fillId="0" borderId="0" xfId="0" applyNumberFormat="1" applyFont="1" applyFill="1"/>
    <xf numFmtId="164" fontId="2" fillId="0" borderId="0" xfId="0" applyNumberFormat="1" applyFont="1" applyFill="1"/>
    <xf numFmtId="165" fontId="2" fillId="0" borderId="0" xfId="1" applyNumberFormat="1" applyFont="1" applyFill="1"/>
    <xf numFmtId="6" fontId="2" fillId="0" borderId="0" xfId="0" applyNumberFormat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9"/>
  <sheetViews>
    <sheetView tabSelected="1" zoomScale="145" zoomScaleNormal="145" workbookViewId="0">
      <selection activeCell="P101" sqref="P101"/>
    </sheetView>
  </sheetViews>
  <sheetFormatPr baseColWidth="10" defaultColWidth="9.140625" defaultRowHeight="15" x14ac:dyDescent="0.25"/>
  <cols>
    <col min="1" max="1" width="2.7109375" style="1" customWidth="1"/>
    <col min="2" max="5" width="9.140625" style="1"/>
    <col min="6" max="6" width="12.42578125" style="1" bestFit="1" customWidth="1"/>
    <col min="7" max="8" width="9.140625" style="1"/>
    <col min="9" max="9" width="10.5703125" style="1" bestFit="1" customWidth="1"/>
    <col min="10" max="10" width="1.140625" style="5" customWidth="1"/>
    <col min="11" max="11" width="2.7109375" style="1" customWidth="1"/>
    <col min="12" max="12" width="19.28515625" style="1" customWidth="1"/>
    <col min="13" max="13" width="8.5703125" style="1" customWidth="1"/>
    <col min="14" max="14" width="11.140625" style="1" customWidth="1"/>
    <col min="15" max="17" width="9.140625" style="1"/>
    <col min="18" max="18" width="10.42578125" style="1" bestFit="1" customWidth="1"/>
    <col min="19" max="19" width="9.140625" style="1"/>
    <col min="20" max="20" width="9.42578125" style="1" bestFit="1" customWidth="1"/>
    <col min="21" max="21" width="9.140625" style="1"/>
    <col min="22" max="22" width="10.42578125" style="1" bestFit="1" customWidth="1"/>
    <col min="23" max="16384" width="9.140625" style="1"/>
  </cols>
  <sheetData>
    <row r="1" spans="1:33" x14ac:dyDescent="0.25">
      <c r="B1" s="1" t="s">
        <v>37</v>
      </c>
    </row>
    <row r="2" spans="1:33" x14ac:dyDescent="0.25">
      <c r="B2" s="1" t="s">
        <v>35</v>
      </c>
    </row>
    <row r="3" spans="1:33" x14ac:dyDescent="0.25">
      <c r="B3" s="1" t="s">
        <v>0</v>
      </c>
    </row>
    <row r="4" spans="1:33" x14ac:dyDescent="0.25">
      <c r="B4" s="1" t="s">
        <v>1</v>
      </c>
    </row>
    <row r="6" spans="1:33" x14ac:dyDescent="0.25">
      <c r="A6" s="2" t="s">
        <v>2</v>
      </c>
      <c r="B6" s="2" t="s">
        <v>4</v>
      </c>
      <c r="K6" s="2" t="s">
        <v>2</v>
      </c>
      <c r="L6" s="2" t="s">
        <v>4</v>
      </c>
    </row>
    <row r="8" spans="1:33" x14ac:dyDescent="0.25">
      <c r="B8" s="1" t="s">
        <v>3</v>
      </c>
      <c r="E8" s="1">
        <v>3780000</v>
      </c>
      <c r="F8" s="1" t="s">
        <v>5</v>
      </c>
      <c r="K8" s="1" t="s">
        <v>38</v>
      </c>
      <c r="M8" s="1">
        <v>0</v>
      </c>
      <c r="N8" s="1">
        <v>1</v>
      </c>
      <c r="O8" s="1">
        <v>2</v>
      </c>
      <c r="P8" s="1">
        <v>3</v>
      </c>
      <c r="Q8" s="1">
        <v>4</v>
      </c>
      <c r="R8" s="1">
        <v>5</v>
      </c>
      <c r="S8" s="1">
        <v>6</v>
      </c>
      <c r="T8" s="1">
        <v>7</v>
      </c>
      <c r="U8" s="1">
        <v>8</v>
      </c>
      <c r="V8" s="1">
        <v>9</v>
      </c>
      <c r="W8" s="1">
        <v>10</v>
      </c>
      <c r="X8" s="1">
        <v>11</v>
      </c>
      <c r="Y8" s="1">
        <v>12</v>
      </c>
      <c r="Z8" s="1">
        <v>13</v>
      </c>
      <c r="AA8" s="1">
        <v>14</v>
      </c>
      <c r="AB8" s="1">
        <v>15</v>
      </c>
      <c r="AC8" s="1">
        <v>16</v>
      </c>
      <c r="AD8" s="1">
        <v>17</v>
      </c>
      <c r="AE8" s="1">
        <v>18</v>
      </c>
      <c r="AF8" s="1">
        <v>19</v>
      </c>
      <c r="AG8" s="1">
        <v>20</v>
      </c>
    </row>
    <row r="9" spans="1:33" x14ac:dyDescent="0.25">
      <c r="C9" s="1" t="s">
        <v>6</v>
      </c>
      <c r="E9" s="3">
        <v>0.8</v>
      </c>
      <c r="G9" s="1" t="s">
        <v>7</v>
      </c>
      <c r="H9" s="1">
        <v>20</v>
      </c>
      <c r="I9" s="1" t="s">
        <v>8</v>
      </c>
    </row>
    <row r="10" spans="1:33" x14ac:dyDescent="0.25">
      <c r="C10" s="1" t="s">
        <v>9</v>
      </c>
      <c r="E10" s="3">
        <v>0.2</v>
      </c>
      <c r="G10" s="1" t="s">
        <v>7</v>
      </c>
      <c r="H10" s="1">
        <v>10</v>
      </c>
      <c r="I10" s="1" t="s">
        <v>8</v>
      </c>
      <c r="K10" s="1" t="s">
        <v>39</v>
      </c>
    </row>
    <row r="11" spans="1:33" x14ac:dyDescent="0.25">
      <c r="L11" s="1" t="s">
        <v>40</v>
      </c>
      <c r="N11" s="1">
        <f>+E18*E19/100</f>
        <v>340000</v>
      </c>
      <c r="O11" s="1">
        <f>+N11</f>
        <v>340000</v>
      </c>
      <c r="P11" s="1">
        <f t="shared" ref="P11:AG11" si="0">+O11</f>
        <v>340000</v>
      </c>
      <c r="Q11" s="1">
        <f t="shared" si="0"/>
        <v>340000</v>
      </c>
      <c r="R11" s="1">
        <f t="shared" si="0"/>
        <v>340000</v>
      </c>
      <c r="S11" s="1">
        <f t="shared" si="0"/>
        <v>340000</v>
      </c>
      <c r="T11" s="1">
        <f t="shared" si="0"/>
        <v>340000</v>
      </c>
      <c r="U11" s="1">
        <f t="shared" si="0"/>
        <v>340000</v>
      </c>
      <c r="V11" s="1">
        <f t="shared" si="0"/>
        <v>340000</v>
      </c>
      <c r="W11" s="1">
        <f t="shared" si="0"/>
        <v>340000</v>
      </c>
      <c r="X11" s="1">
        <f t="shared" si="0"/>
        <v>340000</v>
      </c>
      <c r="Y11" s="1">
        <f t="shared" si="0"/>
        <v>340000</v>
      </c>
      <c r="Z11" s="1">
        <f t="shared" si="0"/>
        <v>340000</v>
      </c>
      <c r="AA11" s="1">
        <f t="shared" si="0"/>
        <v>340000</v>
      </c>
      <c r="AB11" s="1">
        <f t="shared" si="0"/>
        <v>340000</v>
      </c>
      <c r="AC11" s="1">
        <f t="shared" si="0"/>
        <v>340000</v>
      </c>
      <c r="AD11" s="1">
        <f t="shared" si="0"/>
        <v>340000</v>
      </c>
      <c r="AE11" s="1">
        <f t="shared" si="0"/>
        <v>340000</v>
      </c>
      <c r="AF11" s="1">
        <f t="shared" si="0"/>
        <v>340000</v>
      </c>
      <c r="AG11" s="1">
        <f t="shared" si="0"/>
        <v>340000</v>
      </c>
    </row>
    <row r="12" spans="1:33" x14ac:dyDescent="0.25">
      <c r="B12" s="1" t="s">
        <v>17</v>
      </c>
      <c r="E12" s="1">
        <v>50000</v>
      </c>
      <c r="F12" s="1" t="s">
        <v>5</v>
      </c>
      <c r="L12" s="1" t="s">
        <v>41</v>
      </c>
      <c r="AG12" s="1">
        <f>+M18</f>
        <v>0</v>
      </c>
    </row>
    <row r="13" spans="1:33" x14ac:dyDescent="0.25">
      <c r="L13" s="1" t="s">
        <v>47</v>
      </c>
      <c r="AG13" s="8">
        <f>-E12</f>
        <v>-50000</v>
      </c>
    </row>
    <row r="14" spans="1:33" x14ac:dyDescent="0.25">
      <c r="B14" s="1" t="s">
        <v>11</v>
      </c>
      <c r="E14" s="1">
        <v>40000</v>
      </c>
      <c r="F14" s="1" t="s">
        <v>12</v>
      </c>
    </row>
    <row r="15" spans="1:33" x14ac:dyDescent="0.25">
      <c r="K15" s="1" t="s">
        <v>42</v>
      </c>
    </row>
    <row r="16" spans="1:33" x14ac:dyDescent="0.25">
      <c r="B16" s="1" t="s">
        <v>31</v>
      </c>
      <c r="E16" s="4">
        <v>5.0000000000000001E-3</v>
      </c>
      <c r="F16" s="1" t="s">
        <v>19</v>
      </c>
      <c r="L16" s="1" t="s">
        <v>43</v>
      </c>
      <c r="M16" s="1">
        <f>+E8*E9</f>
        <v>3024000</v>
      </c>
    </row>
    <row r="17" spans="2:33" x14ac:dyDescent="0.25">
      <c r="L17" s="1" t="s">
        <v>44</v>
      </c>
      <c r="M17" s="1">
        <f>+E8*E10</f>
        <v>756000</v>
      </c>
      <c r="W17" s="1">
        <f>+M17</f>
        <v>756000</v>
      </c>
    </row>
    <row r="18" spans="2:33" x14ac:dyDescent="0.25">
      <c r="B18" s="1" t="s">
        <v>13</v>
      </c>
      <c r="E18" s="1">
        <f>2500*1700</f>
        <v>4250000</v>
      </c>
      <c r="F18" s="1" t="s">
        <v>14</v>
      </c>
      <c r="L18" s="1" t="s">
        <v>45</v>
      </c>
      <c r="M18" s="1">
        <v>0</v>
      </c>
    </row>
    <row r="19" spans="2:33" x14ac:dyDescent="0.25">
      <c r="B19" s="1" t="s">
        <v>15</v>
      </c>
      <c r="E19" s="1">
        <v>8</v>
      </c>
      <c r="F19" s="1" t="s">
        <v>16</v>
      </c>
    </row>
    <row r="20" spans="2:33" x14ac:dyDescent="0.25">
      <c r="L20" s="1" t="s">
        <v>46</v>
      </c>
      <c r="N20" s="1">
        <f>+E14</f>
        <v>40000</v>
      </c>
      <c r="O20" s="1">
        <f>+N20</f>
        <v>40000</v>
      </c>
      <c r="P20" s="1">
        <f t="shared" ref="P20:AG20" si="1">+O20</f>
        <v>40000</v>
      </c>
      <c r="Q20" s="1">
        <f t="shared" si="1"/>
        <v>40000</v>
      </c>
      <c r="R20" s="1">
        <f t="shared" si="1"/>
        <v>40000</v>
      </c>
      <c r="S20" s="1">
        <f t="shared" si="1"/>
        <v>40000</v>
      </c>
      <c r="T20" s="1">
        <f t="shared" si="1"/>
        <v>40000</v>
      </c>
      <c r="U20" s="1">
        <f t="shared" si="1"/>
        <v>40000</v>
      </c>
      <c r="V20" s="1">
        <f t="shared" si="1"/>
        <v>40000</v>
      </c>
      <c r="W20" s="1">
        <f t="shared" si="1"/>
        <v>40000</v>
      </c>
      <c r="X20" s="1">
        <f t="shared" si="1"/>
        <v>40000</v>
      </c>
      <c r="Y20" s="1">
        <f t="shared" si="1"/>
        <v>40000</v>
      </c>
      <c r="Z20" s="1">
        <f t="shared" si="1"/>
        <v>40000</v>
      </c>
      <c r="AA20" s="1">
        <f t="shared" si="1"/>
        <v>40000</v>
      </c>
      <c r="AB20" s="1">
        <f t="shared" si="1"/>
        <v>40000</v>
      </c>
      <c r="AC20" s="1">
        <f t="shared" si="1"/>
        <v>40000</v>
      </c>
      <c r="AD20" s="1">
        <f t="shared" si="1"/>
        <v>40000</v>
      </c>
      <c r="AE20" s="1">
        <f t="shared" si="1"/>
        <v>40000</v>
      </c>
      <c r="AF20" s="1">
        <f t="shared" si="1"/>
        <v>40000</v>
      </c>
      <c r="AG20" s="1">
        <f t="shared" si="1"/>
        <v>40000</v>
      </c>
    </row>
    <row r="21" spans="2:33" x14ac:dyDescent="0.25">
      <c r="B21" s="1" t="s">
        <v>20</v>
      </c>
      <c r="L21" s="1" t="s">
        <v>18</v>
      </c>
      <c r="M21" s="1">
        <f>+E16*E8</f>
        <v>18900</v>
      </c>
      <c r="N21" s="1">
        <f>+M21</f>
        <v>18900</v>
      </c>
      <c r="O21" s="1">
        <f t="shared" ref="O21:AF21" si="2">+N21</f>
        <v>18900</v>
      </c>
      <c r="P21" s="1">
        <f t="shared" si="2"/>
        <v>18900</v>
      </c>
      <c r="Q21" s="1">
        <f t="shared" si="2"/>
        <v>18900</v>
      </c>
      <c r="R21" s="1">
        <f t="shared" si="2"/>
        <v>18900</v>
      </c>
      <c r="S21" s="1">
        <f t="shared" si="2"/>
        <v>18900</v>
      </c>
      <c r="T21" s="1">
        <f t="shared" si="2"/>
        <v>18900</v>
      </c>
      <c r="U21" s="1">
        <f t="shared" si="2"/>
        <v>18900</v>
      </c>
      <c r="V21" s="1">
        <f t="shared" si="2"/>
        <v>18900</v>
      </c>
      <c r="W21" s="1">
        <f t="shared" si="2"/>
        <v>18900</v>
      </c>
      <c r="X21" s="1">
        <f t="shared" si="2"/>
        <v>18900</v>
      </c>
      <c r="Y21" s="1">
        <f t="shared" si="2"/>
        <v>18900</v>
      </c>
      <c r="Z21" s="1">
        <f t="shared" si="2"/>
        <v>18900</v>
      </c>
      <c r="AA21" s="1">
        <f t="shared" si="2"/>
        <v>18900</v>
      </c>
      <c r="AB21" s="1">
        <f t="shared" si="2"/>
        <v>18900</v>
      </c>
      <c r="AC21" s="1">
        <f t="shared" si="2"/>
        <v>18900</v>
      </c>
      <c r="AD21" s="1">
        <f t="shared" si="2"/>
        <v>18900</v>
      </c>
      <c r="AE21" s="1">
        <f t="shared" si="2"/>
        <v>18900</v>
      </c>
      <c r="AF21" s="1">
        <f t="shared" si="2"/>
        <v>18900</v>
      </c>
    </row>
    <row r="22" spans="2:33" x14ac:dyDescent="0.25">
      <c r="F22" s="1" t="s">
        <v>52</v>
      </c>
      <c r="G22" s="1">
        <f>-M23</f>
        <v>3798900</v>
      </c>
      <c r="H22" s="10">
        <v>1</v>
      </c>
    </row>
    <row r="23" spans="2:33" x14ac:dyDescent="0.25">
      <c r="B23" s="1" t="s">
        <v>21</v>
      </c>
      <c r="F23" s="1" t="s">
        <v>53</v>
      </c>
      <c r="G23" s="1">
        <v>50000</v>
      </c>
      <c r="H23" s="11">
        <f>+G23/G22</f>
        <v>1.3161704703993261E-2</v>
      </c>
      <c r="I23" s="13">
        <f>+D106</f>
        <v>1.4999999999999999E-2</v>
      </c>
      <c r="K23" s="1" t="s">
        <v>48</v>
      </c>
      <c r="M23" s="14">
        <f>+SUM(M11:M14)-SUM(M16:M22)</f>
        <v>-3798900</v>
      </c>
      <c r="N23" s="1">
        <f t="shared" ref="N23:AG23" si="3">+SUM(N11:N14)-SUM(N16:N22)</f>
        <v>281100</v>
      </c>
      <c r="O23" s="1">
        <f t="shared" si="3"/>
        <v>281100</v>
      </c>
      <c r="P23" s="1">
        <f t="shared" si="3"/>
        <v>281100</v>
      </c>
      <c r="Q23" s="1">
        <f t="shared" si="3"/>
        <v>281100</v>
      </c>
      <c r="R23" s="1">
        <f t="shared" si="3"/>
        <v>281100</v>
      </c>
      <c r="S23" s="1">
        <f t="shared" si="3"/>
        <v>281100</v>
      </c>
      <c r="T23" s="1">
        <f t="shared" si="3"/>
        <v>281100</v>
      </c>
      <c r="U23" s="1">
        <f t="shared" si="3"/>
        <v>281100</v>
      </c>
      <c r="V23" s="1">
        <f t="shared" si="3"/>
        <v>281100</v>
      </c>
      <c r="W23" s="9">
        <f t="shared" si="3"/>
        <v>-474900</v>
      </c>
      <c r="X23" s="1">
        <f t="shared" si="3"/>
        <v>281100</v>
      </c>
      <c r="Y23" s="1">
        <f t="shared" si="3"/>
        <v>281100</v>
      </c>
      <c r="Z23" s="1">
        <f t="shared" si="3"/>
        <v>281100</v>
      </c>
      <c r="AA23" s="1">
        <f t="shared" si="3"/>
        <v>281100</v>
      </c>
      <c r="AB23" s="1">
        <f t="shared" si="3"/>
        <v>281100</v>
      </c>
      <c r="AC23" s="1">
        <f t="shared" si="3"/>
        <v>281100</v>
      </c>
      <c r="AD23" s="1">
        <f t="shared" si="3"/>
        <v>281100</v>
      </c>
      <c r="AE23" s="1">
        <f t="shared" si="3"/>
        <v>281100</v>
      </c>
      <c r="AF23" s="1">
        <f t="shared" si="3"/>
        <v>281100</v>
      </c>
      <c r="AG23" s="9">
        <f t="shared" si="3"/>
        <v>250000</v>
      </c>
    </row>
    <row r="24" spans="2:33" x14ac:dyDescent="0.25">
      <c r="B24" s="1" t="s">
        <v>22</v>
      </c>
      <c r="D24" s="1">
        <v>16</v>
      </c>
      <c r="E24" s="1" t="s">
        <v>8</v>
      </c>
      <c r="F24" s="1" t="s">
        <v>54</v>
      </c>
      <c r="G24" s="1">
        <f>+G22-G23</f>
        <v>3748900</v>
      </c>
      <c r="H24" s="12">
        <f>+H22-H23</f>
        <v>0.98683829529600675</v>
      </c>
      <c r="I24" s="13">
        <f>+D25</f>
        <v>2.5000000000000001E-2</v>
      </c>
      <c r="L24" s="1" t="s">
        <v>49</v>
      </c>
      <c r="N24" s="15">
        <f>+NPV(+V25,N23:AG23)+M23</f>
        <v>43631.788897525053</v>
      </c>
      <c r="O24" s="1" t="s">
        <v>57</v>
      </c>
    </row>
    <row r="25" spans="2:33" x14ac:dyDescent="0.25">
      <c r="B25" s="1" t="s">
        <v>23</v>
      </c>
      <c r="D25" s="4">
        <v>2.5000000000000001E-2</v>
      </c>
      <c r="L25" s="1" t="s">
        <v>50</v>
      </c>
      <c r="N25" s="15">
        <f>-PMT(V25,20,N24)</f>
        <v>2747.3687536287957</v>
      </c>
      <c r="O25" s="1" t="s">
        <v>58</v>
      </c>
      <c r="S25" s="1" t="s">
        <v>67</v>
      </c>
      <c r="V25" s="19">
        <v>2.3042725995653376E-2</v>
      </c>
    </row>
    <row r="26" spans="2:33" x14ac:dyDescent="0.25">
      <c r="G26" s="1" t="s">
        <v>55</v>
      </c>
      <c r="H26" s="13">
        <f>+H23*I23+H24*I24</f>
        <v>2.486838295296007E-2</v>
      </c>
      <c r="I26" s="1" t="s">
        <v>56</v>
      </c>
      <c r="L26" s="1" t="s">
        <v>51</v>
      </c>
      <c r="N26" s="13">
        <f>+IRR(M23:AG23)</f>
        <v>2.4256607795476448E-2</v>
      </c>
      <c r="O26" s="1" t="s">
        <v>59</v>
      </c>
      <c r="S26" s="1" t="s">
        <v>68</v>
      </c>
      <c r="V26" s="15">
        <f>+N38-N24</f>
        <v>-2.7648638933897018E-9</v>
      </c>
    </row>
    <row r="27" spans="2:33" x14ac:dyDescent="0.25">
      <c r="H27" s="13"/>
      <c r="N27" s="13"/>
    </row>
    <row r="28" spans="2:33" x14ac:dyDescent="0.25">
      <c r="H28" s="13"/>
      <c r="L28" s="16" t="s">
        <v>60</v>
      </c>
      <c r="M28" s="16"/>
      <c r="N28" s="17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2:33" x14ac:dyDescent="0.25">
      <c r="H29" s="13"/>
      <c r="L29" s="16"/>
      <c r="M29" s="16"/>
      <c r="N29" s="17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2:33" x14ac:dyDescent="0.25">
      <c r="H30" s="13"/>
      <c r="L30" s="16" t="s">
        <v>61</v>
      </c>
      <c r="M30" s="16">
        <f>+G24</f>
        <v>3748900</v>
      </c>
      <c r="N30" s="18">
        <f>+M30-N31</f>
        <v>3555460.551615024</v>
      </c>
      <c r="O30" s="18">
        <f>+N30-O31</f>
        <v>3357185.1170204235</v>
      </c>
      <c r="P30" s="18">
        <f t="shared" ref="P30:AB30" si="4">+O30-P31</f>
        <v>3153952.796560958</v>
      </c>
      <c r="Q30" s="18">
        <f t="shared" si="4"/>
        <v>2945639.6680900059</v>
      </c>
      <c r="R30" s="18">
        <f t="shared" si="4"/>
        <v>2732118.7114072801</v>
      </c>
      <c r="S30" s="18">
        <f t="shared" si="4"/>
        <v>2513259.730807486</v>
      </c>
      <c r="T30" s="18">
        <f t="shared" si="4"/>
        <v>2288929.2756926971</v>
      </c>
      <c r="U30" s="18">
        <f t="shared" si="4"/>
        <v>2058990.5592000387</v>
      </c>
      <c r="V30" s="18">
        <f t="shared" si="4"/>
        <v>1823303.3747950636</v>
      </c>
      <c r="W30" s="18">
        <f t="shared" si="4"/>
        <v>1581724.0107799643</v>
      </c>
      <c r="X30" s="18">
        <f t="shared" si="4"/>
        <v>1334105.1626644875</v>
      </c>
      <c r="Y30" s="18">
        <f t="shared" si="4"/>
        <v>1080295.8433461238</v>
      </c>
      <c r="Z30" s="18">
        <f t="shared" si="4"/>
        <v>820141.29104480101</v>
      </c>
      <c r="AA30" s="18">
        <f t="shared" si="4"/>
        <v>553482.87493594503</v>
      </c>
      <c r="AB30" s="18">
        <f t="shared" si="4"/>
        <v>280157.99842436769</v>
      </c>
      <c r="AC30" s="18">
        <f>+AB30-AC31</f>
        <v>9.3132257461547852E-10</v>
      </c>
    </row>
    <row r="31" spans="2:33" x14ac:dyDescent="0.25">
      <c r="H31" s="13"/>
      <c r="L31" s="16" t="s">
        <v>62</v>
      </c>
      <c r="M31" s="16"/>
      <c r="N31" s="18">
        <f>+N34-N32</f>
        <v>193439.44838497596</v>
      </c>
      <c r="O31" s="18">
        <f>+O34-O32</f>
        <v>198275.43459460035</v>
      </c>
      <c r="P31" s="18">
        <f t="shared" ref="P31:AC31" si="5">+P34-P32</f>
        <v>203232.32045946538</v>
      </c>
      <c r="Q31" s="18">
        <f t="shared" si="5"/>
        <v>208313.12847095198</v>
      </c>
      <c r="R31" s="18">
        <f t="shared" si="5"/>
        <v>213520.95668272581</v>
      </c>
      <c r="S31" s="18">
        <f t="shared" si="5"/>
        <v>218858.98059979395</v>
      </c>
      <c r="T31" s="18">
        <f t="shared" si="5"/>
        <v>224330.45511478881</v>
      </c>
      <c r="U31" s="18">
        <f t="shared" si="5"/>
        <v>229938.71649265854</v>
      </c>
      <c r="V31" s="18">
        <f t="shared" si="5"/>
        <v>235687.18440497498</v>
      </c>
      <c r="W31" s="18">
        <f t="shared" si="5"/>
        <v>241579.36401509936</v>
      </c>
      <c r="X31" s="18">
        <f t="shared" si="5"/>
        <v>247618.84811547684</v>
      </c>
      <c r="Y31" s="18">
        <f t="shared" si="5"/>
        <v>253809.31931836376</v>
      </c>
      <c r="Z31" s="18">
        <f t="shared" si="5"/>
        <v>260154.55230132287</v>
      </c>
      <c r="AA31" s="18">
        <f t="shared" si="5"/>
        <v>266658.41610885592</v>
      </c>
      <c r="AB31" s="18">
        <f t="shared" si="5"/>
        <v>273324.87651157734</v>
      </c>
      <c r="AC31" s="18">
        <f t="shared" si="5"/>
        <v>280157.99842436676</v>
      </c>
    </row>
    <row r="32" spans="2:33" x14ac:dyDescent="0.25">
      <c r="H32" s="13"/>
      <c r="L32" s="16" t="s">
        <v>23</v>
      </c>
      <c r="M32" s="16"/>
      <c r="N32" s="18">
        <f>+M30*$D$25</f>
        <v>93722.5</v>
      </c>
      <c r="O32" s="18">
        <f>+N30*$D$25</f>
        <v>88886.513790375611</v>
      </c>
      <c r="P32" s="18">
        <f t="shared" ref="P32:AC32" si="6">+O30*$D$25</f>
        <v>83929.627925510591</v>
      </c>
      <c r="Q32" s="18">
        <f t="shared" si="6"/>
        <v>78848.819914023959</v>
      </c>
      <c r="R32" s="18">
        <f t="shared" si="6"/>
        <v>73640.991702250147</v>
      </c>
      <c r="S32" s="18">
        <f t="shared" si="6"/>
        <v>68302.967785182002</v>
      </c>
      <c r="T32" s="18">
        <f t="shared" si="6"/>
        <v>62831.493270187151</v>
      </c>
      <c r="U32" s="18">
        <f t="shared" si="6"/>
        <v>57223.231892317432</v>
      </c>
      <c r="V32" s="18">
        <f t="shared" si="6"/>
        <v>51474.763980000971</v>
      </c>
      <c r="W32" s="18">
        <f t="shared" si="6"/>
        <v>45582.584369876597</v>
      </c>
      <c r="X32" s="18">
        <f t="shared" si="6"/>
        <v>39543.100269499111</v>
      </c>
      <c r="Y32" s="18">
        <f t="shared" si="6"/>
        <v>33352.629066612186</v>
      </c>
      <c r="Z32" s="18">
        <f t="shared" si="6"/>
        <v>27007.396083653097</v>
      </c>
      <c r="AA32" s="18">
        <f t="shared" si="6"/>
        <v>20503.532276120026</v>
      </c>
      <c r="AB32" s="18">
        <f t="shared" si="6"/>
        <v>13837.071873398627</v>
      </c>
      <c r="AC32" s="18">
        <f t="shared" si="6"/>
        <v>7003.9499606091922</v>
      </c>
    </row>
    <row r="33" spans="1:33" x14ac:dyDescent="0.25">
      <c r="H33" s="13"/>
      <c r="N33" s="13"/>
    </row>
    <row r="34" spans="1:33" x14ac:dyDescent="0.25">
      <c r="H34" s="13"/>
      <c r="L34" s="1" t="s">
        <v>63</v>
      </c>
      <c r="M34" s="1">
        <f>-M30</f>
        <v>-3748900</v>
      </c>
      <c r="N34" s="15">
        <f>-PMT(D25,D24,M30)</f>
        <v>287161.94838497596</v>
      </c>
      <c r="O34" s="15">
        <f>+N34</f>
        <v>287161.94838497596</v>
      </c>
      <c r="P34" s="15">
        <f t="shared" ref="P34:AC34" si="7">+O34</f>
        <v>287161.94838497596</v>
      </c>
      <c r="Q34" s="15">
        <f t="shared" si="7"/>
        <v>287161.94838497596</v>
      </c>
      <c r="R34" s="15">
        <f t="shared" si="7"/>
        <v>287161.94838497596</v>
      </c>
      <c r="S34" s="15">
        <f t="shared" si="7"/>
        <v>287161.94838497596</v>
      </c>
      <c r="T34" s="15">
        <f t="shared" si="7"/>
        <v>287161.94838497596</v>
      </c>
      <c r="U34" s="15">
        <f t="shared" si="7"/>
        <v>287161.94838497596</v>
      </c>
      <c r="V34" s="15">
        <f t="shared" si="7"/>
        <v>287161.94838497596</v>
      </c>
      <c r="W34" s="15">
        <f t="shared" si="7"/>
        <v>287161.94838497596</v>
      </c>
      <c r="X34" s="15">
        <f t="shared" si="7"/>
        <v>287161.94838497596</v>
      </c>
      <c r="Y34" s="15">
        <f t="shared" si="7"/>
        <v>287161.94838497596</v>
      </c>
      <c r="Z34" s="15">
        <f t="shared" si="7"/>
        <v>287161.94838497596</v>
      </c>
      <c r="AA34" s="15">
        <f t="shared" si="7"/>
        <v>287161.94838497596</v>
      </c>
      <c r="AB34" s="15">
        <f t="shared" si="7"/>
        <v>287161.94838497596</v>
      </c>
      <c r="AC34" s="15">
        <f t="shared" si="7"/>
        <v>287161.94838497596</v>
      </c>
    </row>
    <row r="35" spans="1:33" x14ac:dyDescent="0.25">
      <c r="H35" s="13"/>
      <c r="N35" s="13"/>
    </row>
    <row r="36" spans="1:33" x14ac:dyDescent="0.25">
      <c r="H36" s="13"/>
      <c r="K36" s="1" t="s">
        <v>64</v>
      </c>
      <c r="M36" s="15">
        <f>+M23-M34</f>
        <v>-50000</v>
      </c>
      <c r="N36" s="15">
        <f>+N23-N34</f>
        <v>-6061.9483849759563</v>
      </c>
      <c r="O36" s="15">
        <f t="shared" ref="O36:AG36" si="8">+O23-O34</f>
        <v>-6061.9483849759563</v>
      </c>
      <c r="P36" s="15">
        <f t="shared" si="8"/>
        <v>-6061.9483849759563</v>
      </c>
      <c r="Q36" s="15">
        <f t="shared" si="8"/>
        <v>-6061.9483849759563</v>
      </c>
      <c r="R36" s="15">
        <f t="shared" si="8"/>
        <v>-6061.9483849759563</v>
      </c>
      <c r="S36" s="15">
        <f t="shared" si="8"/>
        <v>-6061.9483849759563</v>
      </c>
      <c r="T36" s="15">
        <f t="shared" si="8"/>
        <v>-6061.9483849759563</v>
      </c>
      <c r="U36" s="15">
        <f t="shared" si="8"/>
        <v>-6061.9483849759563</v>
      </c>
      <c r="V36" s="15">
        <f t="shared" si="8"/>
        <v>-6061.9483849759563</v>
      </c>
      <c r="W36" s="15">
        <f t="shared" si="8"/>
        <v>-762061.94838497601</v>
      </c>
      <c r="X36" s="15">
        <f t="shared" si="8"/>
        <v>-6061.9483849759563</v>
      </c>
      <c r="Y36" s="15">
        <f t="shared" si="8"/>
        <v>-6061.9483849759563</v>
      </c>
      <c r="Z36" s="15">
        <f t="shared" si="8"/>
        <v>-6061.9483849759563</v>
      </c>
      <c r="AA36" s="15">
        <f t="shared" si="8"/>
        <v>-6061.9483849759563</v>
      </c>
      <c r="AB36" s="15">
        <f t="shared" si="8"/>
        <v>-6061.9483849759563</v>
      </c>
      <c r="AC36" s="15">
        <f t="shared" si="8"/>
        <v>-6061.9483849759563</v>
      </c>
      <c r="AD36" s="15">
        <f t="shared" si="8"/>
        <v>281100</v>
      </c>
      <c r="AE36" s="15">
        <f t="shared" si="8"/>
        <v>281100</v>
      </c>
      <c r="AF36" s="15">
        <f t="shared" si="8"/>
        <v>281100</v>
      </c>
      <c r="AG36" s="15">
        <f t="shared" si="8"/>
        <v>250000</v>
      </c>
    </row>
    <row r="37" spans="1:33" x14ac:dyDescent="0.25">
      <c r="H37" s="13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H38" s="13"/>
      <c r="L38" s="1" t="s">
        <v>49</v>
      </c>
      <c r="M38" s="15"/>
      <c r="N38" s="15">
        <f>+NPV(+D106,N36:AG36)+M36</f>
        <v>43631.788897522289</v>
      </c>
      <c r="O38" s="15" t="s">
        <v>69</v>
      </c>
      <c r="P38" s="15" t="s">
        <v>70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H39" s="13"/>
      <c r="L39" s="1" t="s">
        <v>65</v>
      </c>
      <c r="N39" s="15">
        <f>-PMT(D106,20,N38)</f>
        <v>2541.3656518555545</v>
      </c>
      <c r="O39" s="15" t="s">
        <v>69</v>
      </c>
      <c r="P39" s="15" t="s">
        <v>70</v>
      </c>
    </row>
    <row r="40" spans="1:33" x14ac:dyDescent="0.25">
      <c r="H40" s="13"/>
      <c r="L40" s="1" t="s">
        <v>66</v>
      </c>
      <c r="N40" s="13">
        <f>+IRR(M36:AG36)</f>
        <v>2.0909953903163414E-2</v>
      </c>
      <c r="O40" s="1" t="s">
        <v>71</v>
      </c>
      <c r="P40" s="15" t="s">
        <v>70</v>
      </c>
    </row>
    <row r="42" spans="1:33" x14ac:dyDescent="0.25">
      <c r="A42" s="2" t="s">
        <v>24</v>
      </c>
      <c r="B42" s="2" t="s">
        <v>25</v>
      </c>
      <c r="K42" s="2" t="s">
        <v>24</v>
      </c>
      <c r="L42" s="2" t="s">
        <v>25</v>
      </c>
    </row>
    <row r="44" spans="1:33" x14ac:dyDescent="0.25">
      <c r="B44" s="1" t="s">
        <v>3</v>
      </c>
      <c r="E44" s="1">
        <f>60*1050</f>
        <v>63000</v>
      </c>
      <c r="F44" s="1" t="s">
        <v>5</v>
      </c>
      <c r="K44" s="1" t="s">
        <v>38</v>
      </c>
      <c r="M44" s="1">
        <v>0</v>
      </c>
      <c r="N44" s="1">
        <v>1</v>
      </c>
      <c r="O44" s="1">
        <v>2</v>
      </c>
      <c r="P44" s="1">
        <v>3</v>
      </c>
      <c r="Q44" s="1">
        <v>4</v>
      </c>
      <c r="R44" s="1">
        <v>5</v>
      </c>
      <c r="S44" s="1">
        <v>6</v>
      </c>
      <c r="T44" s="1">
        <v>7</v>
      </c>
      <c r="U44" s="1">
        <v>8</v>
      </c>
      <c r="V44" s="1">
        <v>9</v>
      </c>
      <c r="W44" s="1">
        <v>10</v>
      </c>
      <c r="X44" s="1">
        <v>11</v>
      </c>
      <c r="Y44" s="1">
        <v>12</v>
      </c>
      <c r="Z44" s="1">
        <v>13</v>
      </c>
      <c r="AA44" s="1">
        <v>14</v>
      </c>
      <c r="AB44" s="1">
        <v>15</v>
      </c>
      <c r="AC44" s="1">
        <v>16</v>
      </c>
      <c r="AD44" s="1">
        <v>17</v>
      </c>
      <c r="AE44" s="1">
        <v>18</v>
      </c>
      <c r="AF44" s="1">
        <v>19</v>
      </c>
      <c r="AG44" s="1">
        <v>20</v>
      </c>
    </row>
    <row r="45" spans="1:33" x14ac:dyDescent="0.25">
      <c r="C45" s="1" t="s">
        <v>6</v>
      </c>
      <c r="E45" s="3">
        <v>0.7</v>
      </c>
      <c r="G45" s="1" t="s">
        <v>7</v>
      </c>
      <c r="H45" s="1">
        <v>20</v>
      </c>
      <c r="I45" s="1" t="s">
        <v>8</v>
      </c>
    </row>
    <row r="46" spans="1:33" x14ac:dyDescent="0.25">
      <c r="C46" s="1" t="s">
        <v>9</v>
      </c>
      <c r="E46" s="3">
        <v>0.2</v>
      </c>
      <c r="G46" s="1" t="s">
        <v>7</v>
      </c>
      <c r="H46" s="1">
        <v>10</v>
      </c>
      <c r="I46" s="1" t="s">
        <v>8</v>
      </c>
      <c r="K46" s="1" t="s">
        <v>39</v>
      </c>
    </row>
    <row r="47" spans="1:33" x14ac:dyDescent="0.25">
      <c r="C47" s="1" t="s">
        <v>10</v>
      </c>
      <c r="E47" s="3">
        <v>0.1</v>
      </c>
      <c r="G47" s="1" t="s">
        <v>7</v>
      </c>
      <c r="H47" s="1">
        <v>5</v>
      </c>
      <c r="I47" s="1" t="s">
        <v>8</v>
      </c>
      <c r="L47" s="1" t="s">
        <v>72</v>
      </c>
      <c r="N47" s="1">
        <f>+E53*E54/100</f>
        <v>9520</v>
      </c>
      <c r="O47" s="1">
        <f>+N47</f>
        <v>9520</v>
      </c>
      <c r="P47" s="1">
        <f t="shared" ref="P47:AG47" si="9">+O47</f>
        <v>9520</v>
      </c>
      <c r="Q47" s="1">
        <f t="shared" si="9"/>
        <v>9520</v>
      </c>
      <c r="R47" s="1">
        <f t="shared" si="9"/>
        <v>9520</v>
      </c>
      <c r="S47" s="1">
        <f t="shared" si="9"/>
        <v>9520</v>
      </c>
      <c r="T47" s="1">
        <f t="shared" si="9"/>
        <v>9520</v>
      </c>
      <c r="U47" s="1">
        <f t="shared" si="9"/>
        <v>9520</v>
      </c>
      <c r="V47" s="1">
        <f t="shared" si="9"/>
        <v>9520</v>
      </c>
      <c r="W47" s="1">
        <f t="shared" si="9"/>
        <v>9520</v>
      </c>
      <c r="X47" s="1">
        <f t="shared" si="9"/>
        <v>9520</v>
      </c>
      <c r="Y47" s="1">
        <f t="shared" si="9"/>
        <v>9520</v>
      </c>
      <c r="Z47" s="1">
        <f t="shared" si="9"/>
        <v>9520</v>
      </c>
      <c r="AA47" s="1">
        <f t="shared" si="9"/>
        <v>9520</v>
      </c>
      <c r="AB47" s="1">
        <f t="shared" si="9"/>
        <v>9520</v>
      </c>
      <c r="AC47" s="1">
        <f t="shared" si="9"/>
        <v>9520</v>
      </c>
      <c r="AD47" s="1">
        <f t="shared" si="9"/>
        <v>9520</v>
      </c>
      <c r="AE47" s="1">
        <f t="shared" si="9"/>
        <v>9520</v>
      </c>
      <c r="AF47" s="1">
        <f t="shared" si="9"/>
        <v>9520</v>
      </c>
      <c r="AG47" s="1">
        <f t="shared" si="9"/>
        <v>9520</v>
      </c>
    </row>
    <row r="48" spans="1:33" x14ac:dyDescent="0.25">
      <c r="L48" s="1" t="s">
        <v>73</v>
      </c>
      <c r="AG48" s="1">
        <v>0</v>
      </c>
    </row>
    <row r="49" spans="2:33" x14ac:dyDescent="0.25">
      <c r="B49" s="1" t="s">
        <v>11</v>
      </c>
      <c r="E49" s="1">
        <v>2500</v>
      </c>
      <c r="F49" s="1" t="s">
        <v>12</v>
      </c>
      <c r="L49" s="1" t="s">
        <v>74</v>
      </c>
      <c r="AG49" s="1">
        <v>0</v>
      </c>
    </row>
    <row r="51" spans="2:33" x14ac:dyDescent="0.25">
      <c r="B51" s="1" t="s">
        <v>31</v>
      </c>
      <c r="E51" s="4">
        <v>1.4999999999999999E-2</v>
      </c>
      <c r="F51" s="1" t="s">
        <v>19</v>
      </c>
      <c r="K51" s="1" t="s">
        <v>42</v>
      </c>
    </row>
    <row r="52" spans="2:33" x14ac:dyDescent="0.25">
      <c r="L52" s="1" t="s">
        <v>75</v>
      </c>
      <c r="M52" s="1">
        <f>+E45*E44</f>
        <v>44100</v>
      </c>
    </row>
    <row r="53" spans="2:33" x14ac:dyDescent="0.25">
      <c r="B53" s="1" t="s">
        <v>13</v>
      </c>
      <c r="E53" s="1">
        <v>68000</v>
      </c>
      <c r="F53" s="1" t="s">
        <v>14</v>
      </c>
      <c r="L53" s="1" t="s">
        <v>76</v>
      </c>
      <c r="M53" s="1">
        <f>+E46*$E$44</f>
        <v>12600</v>
      </c>
      <c r="W53" s="1">
        <f>+M53</f>
        <v>12600</v>
      </c>
    </row>
    <row r="54" spans="2:33" x14ac:dyDescent="0.25">
      <c r="B54" s="1" t="s">
        <v>32</v>
      </c>
      <c r="E54" s="1">
        <v>14</v>
      </c>
      <c r="F54" s="1" t="s">
        <v>16</v>
      </c>
      <c r="L54" s="1" t="s">
        <v>77</v>
      </c>
      <c r="M54" s="1">
        <f>+E47*$E$44</f>
        <v>6300</v>
      </c>
      <c r="R54" s="1">
        <f>+M54</f>
        <v>6300</v>
      </c>
      <c r="W54" s="1">
        <f>+R54</f>
        <v>6300</v>
      </c>
      <c r="AB54" s="1">
        <f>+W54</f>
        <v>6300</v>
      </c>
    </row>
    <row r="55" spans="2:33" x14ac:dyDescent="0.25">
      <c r="L55" s="1" t="s">
        <v>45</v>
      </c>
      <c r="M55" s="1">
        <v>0</v>
      </c>
    </row>
    <row r="56" spans="2:33" x14ac:dyDescent="0.25">
      <c r="B56" s="1" t="s">
        <v>20</v>
      </c>
    </row>
    <row r="57" spans="2:33" x14ac:dyDescent="0.25">
      <c r="L57" s="1" t="s">
        <v>46</v>
      </c>
      <c r="N57" s="1">
        <f>+E49</f>
        <v>2500</v>
      </c>
      <c r="O57" s="1">
        <f>+N57</f>
        <v>2500</v>
      </c>
      <c r="P57" s="1">
        <f t="shared" ref="P57:AG57" si="10">+O57</f>
        <v>2500</v>
      </c>
      <c r="Q57" s="1">
        <f t="shared" si="10"/>
        <v>2500</v>
      </c>
      <c r="R57" s="1">
        <f t="shared" si="10"/>
        <v>2500</v>
      </c>
      <c r="S57" s="1">
        <f t="shared" si="10"/>
        <v>2500</v>
      </c>
      <c r="T57" s="1">
        <f t="shared" si="10"/>
        <v>2500</v>
      </c>
      <c r="U57" s="1">
        <f t="shared" si="10"/>
        <v>2500</v>
      </c>
      <c r="V57" s="1">
        <f t="shared" si="10"/>
        <v>2500</v>
      </c>
      <c r="W57" s="1">
        <f t="shared" si="10"/>
        <v>2500</v>
      </c>
      <c r="X57" s="1">
        <f t="shared" si="10"/>
        <v>2500</v>
      </c>
      <c r="Y57" s="1">
        <f t="shared" si="10"/>
        <v>2500</v>
      </c>
      <c r="Z57" s="1">
        <f t="shared" si="10"/>
        <v>2500</v>
      </c>
      <c r="AA57" s="1">
        <f t="shared" si="10"/>
        <v>2500</v>
      </c>
      <c r="AB57" s="1">
        <f t="shared" si="10"/>
        <v>2500</v>
      </c>
      <c r="AC57" s="1">
        <f t="shared" si="10"/>
        <v>2500</v>
      </c>
      <c r="AD57" s="1">
        <f t="shared" si="10"/>
        <v>2500</v>
      </c>
      <c r="AE57" s="1">
        <f t="shared" si="10"/>
        <v>2500</v>
      </c>
      <c r="AF57" s="1">
        <f t="shared" si="10"/>
        <v>2500</v>
      </c>
      <c r="AG57" s="1">
        <f t="shared" si="10"/>
        <v>2500</v>
      </c>
    </row>
    <row r="58" spans="2:33" x14ac:dyDescent="0.25">
      <c r="B58" s="1" t="s">
        <v>21</v>
      </c>
      <c r="L58" s="1" t="s">
        <v>18</v>
      </c>
      <c r="M58" s="1">
        <f>+E51*E44</f>
        <v>945</v>
      </c>
      <c r="N58" s="1">
        <f>+M58</f>
        <v>945</v>
      </c>
      <c r="O58" s="1">
        <f>+N58</f>
        <v>945</v>
      </c>
      <c r="P58" s="1">
        <f t="shared" ref="P58:AF58" si="11">+O58</f>
        <v>945</v>
      </c>
      <c r="Q58" s="1">
        <f t="shared" si="11"/>
        <v>945</v>
      </c>
      <c r="R58" s="1">
        <f t="shared" si="11"/>
        <v>945</v>
      </c>
      <c r="S58" s="1">
        <f t="shared" si="11"/>
        <v>945</v>
      </c>
      <c r="T58" s="1">
        <f t="shared" si="11"/>
        <v>945</v>
      </c>
      <c r="U58" s="1">
        <f t="shared" si="11"/>
        <v>945</v>
      </c>
      <c r="V58" s="1">
        <f t="shared" si="11"/>
        <v>945</v>
      </c>
      <c r="W58" s="1">
        <f t="shared" si="11"/>
        <v>945</v>
      </c>
      <c r="X58" s="1">
        <f t="shared" si="11"/>
        <v>945</v>
      </c>
      <c r="Y58" s="1">
        <f t="shared" si="11"/>
        <v>945</v>
      </c>
      <c r="Z58" s="1">
        <f t="shared" si="11"/>
        <v>945</v>
      </c>
      <c r="AA58" s="1">
        <f t="shared" si="11"/>
        <v>945</v>
      </c>
      <c r="AB58" s="1">
        <f t="shared" si="11"/>
        <v>945</v>
      </c>
      <c r="AC58" s="1">
        <f t="shared" si="11"/>
        <v>945</v>
      </c>
      <c r="AD58" s="1">
        <f t="shared" si="11"/>
        <v>945</v>
      </c>
      <c r="AE58" s="1">
        <f t="shared" si="11"/>
        <v>945</v>
      </c>
      <c r="AF58" s="1">
        <f t="shared" si="11"/>
        <v>945</v>
      </c>
    </row>
    <row r="59" spans="2:33" x14ac:dyDescent="0.25">
      <c r="B59" s="1" t="s">
        <v>22</v>
      </c>
      <c r="D59" s="1">
        <v>16</v>
      </c>
      <c r="E59" s="1" t="s">
        <v>8</v>
      </c>
    </row>
    <row r="60" spans="2:33" x14ac:dyDescent="0.25">
      <c r="B60" s="1" t="s">
        <v>23</v>
      </c>
      <c r="D60" s="4">
        <v>2.5000000000000001E-2</v>
      </c>
      <c r="K60" s="1" t="s">
        <v>48</v>
      </c>
      <c r="M60" s="1">
        <f>+SUM(M47:M50)-SUM(M52:M59)</f>
        <v>-63945</v>
      </c>
      <c r="N60" s="1">
        <f t="shared" ref="N60:AG60" si="12">+SUM(N47:N50)-SUM(N52:N59)</f>
        <v>6075</v>
      </c>
      <c r="O60" s="1">
        <f t="shared" si="12"/>
        <v>6075</v>
      </c>
      <c r="P60" s="1">
        <f t="shared" si="12"/>
        <v>6075</v>
      </c>
      <c r="Q60" s="1">
        <f t="shared" si="12"/>
        <v>6075</v>
      </c>
      <c r="R60" s="1">
        <f t="shared" si="12"/>
        <v>-225</v>
      </c>
      <c r="S60" s="1">
        <f t="shared" si="12"/>
        <v>6075</v>
      </c>
      <c r="T60" s="1">
        <f t="shared" si="12"/>
        <v>6075</v>
      </c>
      <c r="U60" s="1">
        <f t="shared" si="12"/>
        <v>6075</v>
      </c>
      <c r="V60" s="1">
        <f t="shared" si="12"/>
        <v>6075</v>
      </c>
      <c r="W60" s="1">
        <f t="shared" si="12"/>
        <v>-12825</v>
      </c>
      <c r="X60" s="1">
        <f t="shared" si="12"/>
        <v>6075</v>
      </c>
      <c r="Y60" s="1">
        <f t="shared" si="12"/>
        <v>6075</v>
      </c>
      <c r="Z60" s="1">
        <f t="shared" si="12"/>
        <v>6075</v>
      </c>
      <c r="AA60" s="1">
        <f t="shared" si="12"/>
        <v>6075</v>
      </c>
      <c r="AB60" s="1">
        <f t="shared" si="12"/>
        <v>-225</v>
      </c>
      <c r="AC60" s="1">
        <f t="shared" si="12"/>
        <v>6075</v>
      </c>
      <c r="AD60" s="1">
        <f t="shared" si="12"/>
        <v>6075</v>
      </c>
      <c r="AE60" s="1">
        <f t="shared" si="12"/>
        <v>6075</v>
      </c>
      <c r="AF60" s="1">
        <f t="shared" si="12"/>
        <v>6075</v>
      </c>
      <c r="AG60" s="1">
        <f t="shared" si="12"/>
        <v>7020</v>
      </c>
    </row>
    <row r="61" spans="2:33" x14ac:dyDescent="0.25">
      <c r="D61" s="4"/>
    </row>
    <row r="62" spans="2:33" x14ac:dyDescent="0.25">
      <c r="D62" s="4"/>
      <c r="F62" s="1" t="s">
        <v>82</v>
      </c>
      <c r="G62" s="1" t="s">
        <v>83</v>
      </c>
      <c r="L62" s="1" t="s">
        <v>49</v>
      </c>
      <c r="N62" s="15">
        <f>+NPV(R64,N60:AG60)+M60</f>
        <v>12733.866712870324</v>
      </c>
    </row>
    <row r="63" spans="2:33" x14ac:dyDescent="0.25">
      <c r="B63" s="1" t="s">
        <v>81</v>
      </c>
      <c r="D63" s="4" t="s">
        <v>52</v>
      </c>
      <c r="E63" s="1">
        <f>-M60</f>
        <v>63945</v>
      </c>
      <c r="F63" s="10">
        <v>1</v>
      </c>
      <c r="G63" s="13">
        <f>+F64*G64+F65*G65</f>
        <v>1.7180780358120259E-2</v>
      </c>
      <c r="H63" s="1" t="s">
        <v>84</v>
      </c>
      <c r="L63" s="1" t="s">
        <v>65</v>
      </c>
      <c r="N63" s="15">
        <f>-PMT(R64,20,N62)</f>
        <v>752.66108272062729</v>
      </c>
      <c r="P63" s="1" t="s">
        <v>87</v>
      </c>
      <c r="R63" s="15">
        <f>+N62-N72</f>
        <v>-1.8280843505635858E-7</v>
      </c>
      <c r="T63" s="1">
        <f>3800000/63000</f>
        <v>60.317460317460316</v>
      </c>
      <c r="U63" s="1" t="s">
        <v>85</v>
      </c>
    </row>
    <row r="64" spans="2:33" x14ac:dyDescent="0.25">
      <c r="D64" s="4" t="s">
        <v>53</v>
      </c>
      <c r="E64" s="1">
        <v>50000</v>
      </c>
      <c r="F64" s="20">
        <f>+E64/$E$63</f>
        <v>0.78192196418797399</v>
      </c>
      <c r="G64" s="13">
        <f>+D106</f>
        <v>1.4999999999999999E-2</v>
      </c>
      <c r="L64" s="1" t="s">
        <v>51</v>
      </c>
      <c r="N64" s="13">
        <f>+IRR(M60:AG60)</f>
        <v>3.570398990936785E-2</v>
      </c>
      <c r="P64" s="1" t="s">
        <v>88</v>
      </c>
      <c r="R64" s="13">
        <v>1.6493804048884484E-2</v>
      </c>
      <c r="T64" s="21">
        <f>+T63*N63</f>
        <v>45398.604989498155</v>
      </c>
      <c r="U64" s="1" t="s">
        <v>86</v>
      </c>
    </row>
    <row r="65" spans="1:33" x14ac:dyDescent="0.25">
      <c r="D65" s="4" t="s">
        <v>54</v>
      </c>
      <c r="E65" s="1">
        <f>+E63-E64</f>
        <v>13945</v>
      </c>
      <c r="F65" s="20">
        <f>+E65/$E$63</f>
        <v>0.21807803581202595</v>
      </c>
      <c r="G65" s="13">
        <f>+D60</f>
        <v>2.5000000000000001E-2</v>
      </c>
    </row>
    <row r="66" spans="1:33" x14ac:dyDescent="0.25">
      <c r="D66" s="4"/>
      <c r="L66" s="1" t="s">
        <v>78</v>
      </c>
    </row>
    <row r="67" spans="1:33" x14ac:dyDescent="0.25">
      <c r="D67" s="4"/>
    </row>
    <row r="68" spans="1:33" x14ac:dyDescent="0.25">
      <c r="D68" s="4"/>
      <c r="L68" s="1" t="s">
        <v>79</v>
      </c>
      <c r="M68" s="1">
        <f>-E65</f>
        <v>-13945</v>
      </c>
      <c r="N68" s="15">
        <f>+PMT(G65,D59,M68)</f>
        <v>1068.1728961104566</v>
      </c>
      <c r="O68" s="15">
        <f>+N68</f>
        <v>1068.1728961104566</v>
      </c>
      <c r="P68" s="15">
        <f t="shared" ref="P68:AC68" si="13">+O68</f>
        <v>1068.1728961104566</v>
      </c>
      <c r="Q68" s="15">
        <f t="shared" si="13"/>
        <v>1068.1728961104566</v>
      </c>
      <c r="R68" s="15">
        <f t="shared" si="13"/>
        <v>1068.1728961104566</v>
      </c>
      <c r="S68" s="15">
        <f t="shared" si="13"/>
        <v>1068.1728961104566</v>
      </c>
      <c r="T68" s="15">
        <f t="shared" si="13"/>
        <v>1068.1728961104566</v>
      </c>
      <c r="U68" s="15">
        <f t="shared" si="13"/>
        <v>1068.1728961104566</v>
      </c>
      <c r="V68" s="15">
        <f t="shared" si="13"/>
        <v>1068.1728961104566</v>
      </c>
      <c r="W68" s="15">
        <f t="shared" si="13"/>
        <v>1068.1728961104566</v>
      </c>
      <c r="X68" s="15">
        <f t="shared" si="13"/>
        <v>1068.1728961104566</v>
      </c>
      <c r="Y68" s="15">
        <f t="shared" si="13"/>
        <v>1068.1728961104566</v>
      </c>
      <c r="Z68" s="15">
        <f t="shared" si="13"/>
        <v>1068.1728961104566</v>
      </c>
      <c r="AA68" s="15">
        <f t="shared" si="13"/>
        <v>1068.1728961104566</v>
      </c>
      <c r="AB68" s="15">
        <f t="shared" si="13"/>
        <v>1068.1728961104566</v>
      </c>
      <c r="AC68" s="15">
        <f t="shared" si="13"/>
        <v>1068.1728961104566</v>
      </c>
    </row>
    <row r="69" spans="1:33" x14ac:dyDescent="0.25">
      <c r="D69" s="4"/>
    </row>
    <row r="70" spans="1:33" x14ac:dyDescent="0.25">
      <c r="D70" s="4"/>
      <c r="K70" s="1" t="s">
        <v>64</v>
      </c>
      <c r="M70" s="15">
        <f>+M60-M68</f>
        <v>-50000</v>
      </c>
      <c r="N70" s="15">
        <f t="shared" ref="N70:AG70" si="14">+N60-N68</f>
        <v>5006.8271038895437</v>
      </c>
      <c r="O70" s="15">
        <f t="shared" si="14"/>
        <v>5006.8271038895437</v>
      </c>
      <c r="P70" s="15">
        <f t="shared" si="14"/>
        <v>5006.8271038895437</v>
      </c>
      <c r="Q70" s="15">
        <f t="shared" si="14"/>
        <v>5006.8271038895437</v>
      </c>
      <c r="R70" s="15">
        <f t="shared" si="14"/>
        <v>-1293.1728961104566</v>
      </c>
      <c r="S70" s="15">
        <f t="shared" si="14"/>
        <v>5006.8271038895437</v>
      </c>
      <c r="T70" s="15">
        <f t="shared" si="14"/>
        <v>5006.8271038895437</v>
      </c>
      <c r="U70" s="15">
        <f t="shared" si="14"/>
        <v>5006.8271038895437</v>
      </c>
      <c r="V70" s="15">
        <f t="shared" si="14"/>
        <v>5006.8271038895437</v>
      </c>
      <c r="W70" s="15">
        <f t="shared" si="14"/>
        <v>-13893.172896110456</v>
      </c>
      <c r="X70" s="15">
        <f t="shared" si="14"/>
        <v>5006.8271038895437</v>
      </c>
      <c r="Y70" s="15">
        <f t="shared" si="14"/>
        <v>5006.8271038895437</v>
      </c>
      <c r="Z70" s="15">
        <f t="shared" si="14"/>
        <v>5006.8271038895437</v>
      </c>
      <c r="AA70" s="15">
        <f t="shared" si="14"/>
        <v>5006.8271038895437</v>
      </c>
      <c r="AB70" s="15">
        <f t="shared" si="14"/>
        <v>-1293.1728961104566</v>
      </c>
      <c r="AC70" s="15">
        <f t="shared" si="14"/>
        <v>5006.8271038895437</v>
      </c>
      <c r="AD70" s="15">
        <f t="shared" si="14"/>
        <v>6075</v>
      </c>
      <c r="AE70" s="15">
        <f t="shared" si="14"/>
        <v>6075</v>
      </c>
      <c r="AF70" s="15">
        <f t="shared" si="14"/>
        <v>6075</v>
      </c>
      <c r="AG70" s="15">
        <f t="shared" si="14"/>
        <v>7020</v>
      </c>
    </row>
    <row r="71" spans="1:33" x14ac:dyDescent="0.25">
      <c r="D71" s="4"/>
    </row>
    <row r="72" spans="1:33" x14ac:dyDescent="0.25">
      <c r="D72" s="4"/>
      <c r="L72" s="1" t="s">
        <v>49</v>
      </c>
      <c r="N72" s="15">
        <f>+NPV(G64,N70:AG70)+M70</f>
        <v>12733.866713053132</v>
      </c>
    </row>
    <row r="73" spans="1:33" x14ac:dyDescent="0.25">
      <c r="L73" s="1" t="s">
        <v>65</v>
      </c>
      <c r="N73" s="15">
        <f>-PMT(G64,20,N72)</f>
        <v>741.69343722915107</v>
      </c>
    </row>
    <row r="74" spans="1:33" x14ac:dyDescent="0.25">
      <c r="L74" s="1" t="s">
        <v>80</v>
      </c>
      <c r="N74" s="13">
        <f>+IRR(M70:AG70)</f>
        <v>3.8029304083834647E-2</v>
      </c>
    </row>
    <row r="77" spans="1:33" x14ac:dyDescent="0.25">
      <c r="A77" s="2" t="s">
        <v>26</v>
      </c>
      <c r="B77" s="2" t="s">
        <v>27</v>
      </c>
      <c r="K77" s="2" t="s">
        <v>26</v>
      </c>
      <c r="L77" s="2" t="s">
        <v>27</v>
      </c>
    </row>
    <row r="79" spans="1:33" x14ac:dyDescent="0.25">
      <c r="B79" s="1" t="s">
        <v>3</v>
      </c>
      <c r="E79" s="1">
        <v>100000</v>
      </c>
      <c r="F79" s="1" t="s">
        <v>5</v>
      </c>
      <c r="K79" s="1" t="s">
        <v>38</v>
      </c>
      <c r="M79" s="1">
        <v>0</v>
      </c>
      <c r="N79" s="1">
        <v>1</v>
      </c>
      <c r="O79" s="1">
        <v>2</v>
      </c>
      <c r="P79" s="1">
        <v>3</v>
      </c>
      <c r="Q79" s="1">
        <v>4</v>
      </c>
      <c r="R79" s="1">
        <v>5</v>
      </c>
    </row>
    <row r="80" spans="1:33" x14ac:dyDescent="0.25">
      <c r="C80" s="1" t="s">
        <v>10</v>
      </c>
      <c r="E80" s="3">
        <v>1</v>
      </c>
      <c r="G80" s="1" t="s">
        <v>7</v>
      </c>
      <c r="H80" s="1">
        <v>5</v>
      </c>
      <c r="I80" s="1" t="s">
        <v>8</v>
      </c>
    </row>
    <row r="81" spans="2:18" x14ac:dyDescent="0.25">
      <c r="J81" s="6"/>
      <c r="K81" s="1" t="s">
        <v>39</v>
      </c>
    </row>
    <row r="82" spans="2:18" x14ac:dyDescent="0.25">
      <c r="B82" s="1" t="s">
        <v>34</v>
      </c>
      <c r="E82" s="1">
        <v>20000</v>
      </c>
      <c r="F82" s="1" t="s">
        <v>5</v>
      </c>
      <c r="L82" s="1" t="s">
        <v>33</v>
      </c>
      <c r="N82" s="1">
        <f>+$E$88</f>
        <v>57500</v>
      </c>
      <c r="O82" s="1">
        <f t="shared" ref="O82:R82" si="15">+$E$88</f>
        <v>57500</v>
      </c>
      <c r="P82" s="1">
        <f t="shared" si="15"/>
        <v>57500</v>
      </c>
      <c r="Q82" s="1">
        <f t="shared" si="15"/>
        <v>57500</v>
      </c>
      <c r="R82" s="1">
        <f t="shared" si="15"/>
        <v>57500</v>
      </c>
    </row>
    <row r="83" spans="2:18" x14ac:dyDescent="0.25">
      <c r="L83" s="1" t="s">
        <v>73</v>
      </c>
      <c r="R83" s="1">
        <f>+M88</f>
        <v>0</v>
      </c>
    </row>
    <row r="84" spans="2:18" x14ac:dyDescent="0.25">
      <c r="B84" s="1" t="s">
        <v>11</v>
      </c>
      <c r="E84" s="1">
        <v>36000</v>
      </c>
      <c r="F84" s="1" t="s">
        <v>12</v>
      </c>
      <c r="J84" s="6"/>
      <c r="L84" s="1" t="s">
        <v>74</v>
      </c>
      <c r="R84" s="1">
        <f>+E82</f>
        <v>20000</v>
      </c>
    </row>
    <row r="86" spans="2:18" x14ac:dyDescent="0.25">
      <c r="B86" s="1" t="s">
        <v>18</v>
      </c>
      <c r="E86" s="1">
        <v>1500</v>
      </c>
      <c r="F86" s="1" t="s">
        <v>12</v>
      </c>
      <c r="K86" s="1" t="s">
        <v>42</v>
      </c>
    </row>
    <row r="87" spans="2:18" x14ac:dyDescent="0.25">
      <c r="L87" s="1" t="s">
        <v>89</v>
      </c>
      <c r="M87" s="1">
        <f>+E79</f>
        <v>100000</v>
      </c>
    </row>
    <row r="88" spans="2:18" x14ac:dyDescent="0.25">
      <c r="B88" s="1" t="s">
        <v>33</v>
      </c>
      <c r="E88" s="1">
        <v>57500</v>
      </c>
      <c r="F88" s="1" t="s">
        <v>12</v>
      </c>
      <c r="L88" s="1" t="s">
        <v>45</v>
      </c>
      <c r="M88" s="1">
        <v>0</v>
      </c>
    </row>
    <row r="89" spans="2:18" x14ac:dyDescent="0.25">
      <c r="J89" s="6"/>
    </row>
    <row r="90" spans="2:18" x14ac:dyDescent="0.25">
      <c r="B90" s="1" t="s">
        <v>20</v>
      </c>
      <c r="L90" s="1" t="s">
        <v>46</v>
      </c>
      <c r="N90" s="1">
        <f>+$E$84</f>
        <v>36000</v>
      </c>
      <c r="O90" s="1">
        <f t="shared" ref="O90:R90" si="16">+$E$84</f>
        <v>36000</v>
      </c>
      <c r="P90" s="1">
        <f t="shared" si="16"/>
        <v>36000</v>
      </c>
      <c r="Q90" s="1">
        <f t="shared" si="16"/>
        <v>36000</v>
      </c>
      <c r="R90" s="1">
        <f t="shared" si="16"/>
        <v>36000</v>
      </c>
    </row>
    <row r="91" spans="2:18" x14ac:dyDescent="0.25">
      <c r="L91" s="1" t="s">
        <v>18</v>
      </c>
      <c r="M91" s="1">
        <f>+$E$86</f>
        <v>1500</v>
      </c>
      <c r="N91" s="1">
        <f t="shared" ref="N91:Q91" si="17">+$E$86</f>
        <v>1500</v>
      </c>
      <c r="O91" s="1">
        <f t="shared" si="17"/>
        <v>1500</v>
      </c>
      <c r="P91" s="1">
        <f t="shared" si="17"/>
        <v>1500</v>
      </c>
      <c r="Q91" s="1">
        <f t="shared" si="17"/>
        <v>1500</v>
      </c>
    </row>
    <row r="92" spans="2:18" x14ac:dyDescent="0.25">
      <c r="B92" s="1" t="s">
        <v>21</v>
      </c>
    </row>
    <row r="93" spans="2:18" x14ac:dyDescent="0.25">
      <c r="B93" s="1" t="s">
        <v>22</v>
      </c>
      <c r="D93" s="1">
        <v>4</v>
      </c>
      <c r="E93" s="1" t="s">
        <v>8</v>
      </c>
      <c r="K93" s="1" t="s">
        <v>48</v>
      </c>
      <c r="M93" s="1">
        <f>+SUM(M82:M84)-SUM(M87:M91)</f>
        <v>-101500</v>
      </c>
      <c r="N93" s="1">
        <f t="shared" ref="N93:R93" si="18">+SUM(N82:N84)-SUM(N87:N91)</f>
        <v>20000</v>
      </c>
      <c r="O93" s="1">
        <f t="shared" si="18"/>
        <v>20000</v>
      </c>
      <c r="P93" s="1">
        <f t="shared" si="18"/>
        <v>20000</v>
      </c>
      <c r="Q93" s="1">
        <f t="shared" si="18"/>
        <v>20000</v>
      </c>
      <c r="R93" s="1">
        <f t="shared" si="18"/>
        <v>41500</v>
      </c>
    </row>
    <row r="94" spans="2:18" x14ac:dyDescent="0.25">
      <c r="B94" s="1" t="s">
        <v>23</v>
      </c>
      <c r="D94" s="4">
        <v>2.5000000000000001E-2</v>
      </c>
      <c r="J94" s="6"/>
    </row>
    <row r="95" spans="2:18" x14ac:dyDescent="0.25">
      <c r="L95" s="1" t="s">
        <v>49</v>
      </c>
      <c r="M95" s="15">
        <f>+NPV(G97,N93:R93)+M93</f>
        <v>12215.137100242486</v>
      </c>
      <c r="N95" s="1" t="s">
        <v>5</v>
      </c>
      <c r="O95" s="1" t="s">
        <v>90</v>
      </c>
    </row>
    <row r="96" spans="2:18" x14ac:dyDescent="0.25">
      <c r="D96" s="4"/>
      <c r="F96" s="1" t="s">
        <v>82</v>
      </c>
      <c r="G96" s="1" t="s">
        <v>83</v>
      </c>
      <c r="L96" s="1" t="s">
        <v>65</v>
      </c>
      <c r="M96" s="15">
        <f>-PMT(G97,5,M95)</f>
        <v>2592.0996785012808</v>
      </c>
      <c r="N96" s="15" t="s">
        <v>12</v>
      </c>
    </row>
    <row r="97" spans="1:13" x14ac:dyDescent="0.25">
      <c r="B97" s="1" t="s">
        <v>81</v>
      </c>
      <c r="D97" s="4" t="s">
        <v>52</v>
      </c>
      <c r="E97" s="1">
        <f>-M93</f>
        <v>101500</v>
      </c>
      <c r="F97" s="10">
        <v>1</v>
      </c>
      <c r="G97" s="13">
        <f>+F98*G98+F99*G99</f>
        <v>2.0073891625615764E-2</v>
      </c>
      <c r="H97" s="1" t="s">
        <v>84</v>
      </c>
      <c r="L97" s="1" t="s">
        <v>51</v>
      </c>
      <c r="M97" s="13">
        <f>+IRR(M93:R93)</f>
        <v>5.6143722829892218E-2</v>
      </c>
    </row>
    <row r="98" spans="1:13" x14ac:dyDescent="0.25">
      <c r="D98" s="4" t="s">
        <v>53</v>
      </c>
      <c r="E98" s="1">
        <v>50000</v>
      </c>
      <c r="F98" s="20">
        <f>+E98/$E$97</f>
        <v>0.49261083743842365</v>
      </c>
      <c r="G98" s="13">
        <f>+D106</f>
        <v>1.4999999999999999E-2</v>
      </c>
    </row>
    <row r="99" spans="1:13" x14ac:dyDescent="0.25">
      <c r="D99" s="4" t="s">
        <v>54</v>
      </c>
      <c r="E99" s="1">
        <f>+E97-E98</f>
        <v>51500</v>
      </c>
      <c r="F99" s="20">
        <f>+F97-F98</f>
        <v>0.50738916256157629</v>
      </c>
      <c r="G99" s="13">
        <f>+D94</f>
        <v>2.5000000000000001E-2</v>
      </c>
    </row>
    <row r="104" spans="1:13" x14ac:dyDescent="0.25">
      <c r="A104" s="2" t="s">
        <v>28</v>
      </c>
      <c r="B104" s="2" t="s">
        <v>29</v>
      </c>
    </row>
    <row r="106" spans="1:13" x14ac:dyDescent="0.25">
      <c r="B106" s="1" t="s">
        <v>30</v>
      </c>
      <c r="D106" s="4">
        <v>1.4999999999999999E-2</v>
      </c>
    </row>
    <row r="107" spans="1:13" x14ac:dyDescent="0.25">
      <c r="B107" s="1" t="s">
        <v>36</v>
      </c>
      <c r="D107" s="1">
        <v>50000</v>
      </c>
      <c r="J107" s="7"/>
    </row>
    <row r="108" spans="1:13" x14ac:dyDescent="0.25">
      <c r="J108" s="7"/>
    </row>
    <row r="109" spans="1:13" x14ac:dyDescent="0.25">
      <c r="J109" s="7"/>
    </row>
  </sheetData>
  <pageMargins left="0.23622047244094491" right="0.23622047244094491" top="0.74803149606299213" bottom="0.74803149606299213" header="0.31496062992125984" footer="0.31496062992125984"/>
  <pageSetup paperSize="8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9"/>
  <sheetViews>
    <sheetView topLeftCell="H74" zoomScale="130" zoomScaleNormal="130" workbookViewId="0">
      <selection activeCell="M95" sqref="M95"/>
    </sheetView>
  </sheetViews>
  <sheetFormatPr baseColWidth="10" defaultColWidth="9.140625" defaultRowHeight="15" x14ac:dyDescent="0.25"/>
  <cols>
    <col min="1" max="1" width="2.7109375" style="1" customWidth="1"/>
    <col min="2" max="5" width="9.140625" style="1"/>
    <col min="6" max="6" width="12.42578125" style="1" bestFit="1" customWidth="1"/>
    <col min="7" max="8" width="9.140625" style="1"/>
    <col min="9" max="9" width="10.5703125" style="1" bestFit="1" customWidth="1"/>
    <col min="10" max="10" width="1.140625" style="5" customWidth="1"/>
    <col min="11" max="11" width="2.7109375" style="1" customWidth="1"/>
    <col min="12" max="12" width="19.28515625" style="1" customWidth="1"/>
    <col min="13" max="13" width="8.5703125" style="1" customWidth="1"/>
    <col min="14" max="14" width="11.140625" style="1" customWidth="1"/>
    <col min="15" max="17" width="9.140625" style="1"/>
    <col min="18" max="18" width="10.42578125" style="1" bestFit="1" customWidth="1"/>
    <col min="19" max="19" width="9.140625" style="1"/>
    <col min="20" max="20" width="9.42578125" style="1" bestFit="1" customWidth="1"/>
    <col min="21" max="21" width="9.140625" style="1"/>
    <col min="22" max="22" width="10.42578125" style="1" bestFit="1" customWidth="1"/>
    <col min="23" max="16384" width="9.140625" style="1"/>
  </cols>
  <sheetData>
    <row r="1" spans="1:33" x14ac:dyDescent="0.25">
      <c r="B1" s="1" t="s">
        <v>37</v>
      </c>
    </row>
    <row r="2" spans="1:33" x14ac:dyDescent="0.25">
      <c r="B2" s="1" t="s">
        <v>35</v>
      </c>
    </row>
    <row r="3" spans="1:33" x14ac:dyDescent="0.25">
      <c r="B3" s="1" t="s">
        <v>0</v>
      </c>
    </row>
    <row r="4" spans="1:33" x14ac:dyDescent="0.25">
      <c r="B4" s="1" t="s">
        <v>1</v>
      </c>
    </row>
    <row r="6" spans="1:33" x14ac:dyDescent="0.25">
      <c r="A6" s="2" t="s">
        <v>2</v>
      </c>
      <c r="B6" s="2" t="s">
        <v>4</v>
      </c>
      <c r="K6" s="2" t="s">
        <v>2</v>
      </c>
      <c r="L6" s="2" t="s">
        <v>4</v>
      </c>
    </row>
    <row r="8" spans="1:33" x14ac:dyDescent="0.25">
      <c r="B8" s="1" t="s">
        <v>3</v>
      </c>
      <c r="E8" s="1">
        <v>3780000</v>
      </c>
      <c r="F8" s="1" t="s">
        <v>5</v>
      </c>
      <c r="K8" s="1" t="s">
        <v>38</v>
      </c>
      <c r="M8" s="1">
        <v>0</v>
      </c>
      <c r="N8" s="1">
        <v>1</v>
      </c>
      <c r="O8" s="1">
        <v>2</v>
      </c>
      <c r="P8" s="1">
        <v>3</v>
      </c>
      <c r="Q8" s="1">
        <v>4</v>
      </c>
      <c r="R8" s="1">
        <v>5</v>
      </c>
      <c r="S8" s="1">
        <v>6</v>
      </c>
      <c r="T8" s="1">
        <v>7</v>
      </c>
      <c r="U8" s="1">
        <v>8</v>
      </c>
      <c r="V8" s="1">
        <v>9</v>
      </c>
      <c r="W8" s="1">
        <v>10</v>
      </c>
      <c r="X8" s="1">
        <v>11</v>
      </c>
      <c r="Y8" s="1">
        <v>12</v>
      </c>
      <c r="Z8" s="1">
        <v>13</v>
      </c>
      <c r="AA8" s="1">
        <v>14</v>
      </c>
      <c r="AB8" s="1">
        <v>15</v>
      </c>
      <c r="AC8" s="1">
        <v>16</v>
      </c>
      <c r="AD8" s="1">
        <v>17</v>
      </c>
      <c r="AE8" s="1">
        <v>18</v>
      </c>
      <c r="AF8" s="1">
        <v>19</v>
      </c>
      <c r="AG8" s="1">
        <v>20</v>
      </c>
    </row>
    <row r="9" spans="1:33" x14ac:dyDescent="0.25">
      <c r="C9" s="1" t="s">
        <v>6</v>
      </c>
      <c r="E9" s="3">
        <v>0.8</v>
      </c>
      <c r="G9" s="1" t="s">
        <v>7</v>
      </c>
      <c r="H9" s="1">
        <v>20</v>
      </c>
      <c r="I9" s="1" t="s">
        <v>8</v>
      </c>
    </row>
    <row r="10" spans="1:33" x14ac:dyDescent="0.25">
      <c r="C10" s="1" t="s">
        <v>9</v>
      </c>
      <c r="E10" s="3">
        <v>0.2</v>
      </c>
      <c r="G10" s="1" t="s">
        <v>7</v>
      </c>
      <c r="H10" s="1">
        <v>10</v>
      </c>
      <c r="I10" s="1" t="s">
        <v>8</v>
      </c>
      <c r="K10" s="1" t="s">
        <v>39</v>
      </c>
    </row>
    <row r="11" spans="1:33" x14ac:dyDescent="0.25">
      <c r="L11" s="1" t="s">
        <v>40</v>
      </c>
      <c r="N11" s="1">
        <f>+E18*E19/100</f>
        <v>340000</v>
      </c>
      <c r="O11" s="1">
        <f>+N11</f>
        <v>340000</v>
      </c>
      <c r="P11" s="1">
        <f t="shared" ref="P11:AG11" si="0">+O11</f>
        <v>340000</v>
      </c>
      <c r="Q11" s="1">
        <f t="shared" si="0"/>
        <v>340000</v>
      </c>
      <c r="R11" s="1">
        <f t="shared" si="0"/>
        <v>340000</v>
      </c>
      <c r="S11" s="1">
        <f t="shared" si="0"/>
        <v>340000</v>
      </c>
      <c r="T11" s="1">
        <f t="shared" si="0"/>
        <v>340000</v>
      </c>
      <c r="U11" s="1">
        <f t="shared" si="0"/>
        <v>340000</v>
      </c>
      <c r="V11" s="1">
        <f t="shared" si="0"/>
        <v>340000</v>
      </c>
      <c r="W11" s="1">
        <f t="shared" si="0"/>
        <v>340000</v>
      </c>
      <c r="X11" s="1">
        <f t="shared" si="0"/>
        <v>340000</v>
      </c>
      <c r="Y11" s="1">
        <f t="shared" si="0"/>
        <v>340000</v>
      </c>
      <c r="Z11" s="1">
        <f t="shared" si="0"/>
        <v>340000</v>
      </c>
      <c r="AA11" s="1">
        <f t="shared" si="0"/>
        <v>340000</v>
      </c>
      <c r="AB11" s="1">
        <f t="shared" si="0"/>
        <v>340000</v>
      </c>
      <c r="AC11" s="1">
        <f t="shared" si="0"/>
        <v>340000</v>
      </c>
      <c r="AD11" s="1">
        <f t="shared" si="0"/>
        <v>340000</v>
      </c>
      <c r="AE11" s="1">
        <f t="shared" si="0"/>
        <v>340000</v>
      </c>
      <c r="AF11" s="1">
        <f t="shared" si="0"/>
        <v>340000</v>
      </c>
      <c r="AG11" s="1">
        <f t="shared" si="0"/>
        <v>340000</v>
      </c>
    </row>
    <row r="12" spans="1:33" x14ac:dyDescent="0.25">
      <c r="B12" s="1" t="s">
        <v>17</v>
      </c>
      <c r="E12" s="1">
        <v>50000</v>
      </c>
      <c r="F12" s="1" t="s">
        <v>5</v>
      </c>
      <c r="L12" s="1" t="s">
        <v>41</v>
      </c>
      <c r="AG12" s="1">
        <f>+M18</f>
        <v>0</v>
      </c>
    </row>
    <row r="13" spans="1:33" x14ac:dyDescent="0.25">
      <c r="L13" s="1" t="s">
        <v>47</v>
      </c>
      <c r="AG13" s="8">
        <f>-E12</f>
        <v>-50000</v>
      </c>
    </row>
    <row r="14" spans="1:33" x14ac:dyDescent="0.25">
      <c r="B14" s="1" t="s">
        <v>11</v>
      </c>
      <c r="E14" s="1">
        <v>40000</v>
      </c>
      <c r="F14" s="1" t="s">
        <v>12</v>
      </c>
    </row>
    <row r="15" spans="1:33" x14ac:dyDescent="0.25">
      <c r="K15" s="1" t="s">
        <v>42</v>
      </c>
    </row>
    <row r="16" spans="1:33" x14ac:dyDescent="0.25">
      <c r="B16" s="1" t="s">
        <v>31</v>
      </c>
      <c r="E16" s="4">
        <v>5.0000000000000001E-3</v>
      </c>
      <c r="F16" s="1" t="s">
        <v>19</v>
      </c>
      <c r="L16" s="1" t="s">
        <v>43</v>
      </c>
      <c r="M16" s="1">
        <f>+E8*E9</f>
        <v>3024000</v>
      </c>
    </row>
    <row r="17" spans="2:33" x14ac:dyDescent="0.25">
      <c r="L17" s="1" t="s">
        <v>44</v>
      </c>
      <c r="M17" s="1">
        <f>+E8*E10</f>
        <v>756000</v>
      </c>
      <c r="W17" s="1">
        <f>+M17</f>
        <v>756000</v>
      </c>
    </row>
    <row r="18" spans="2:33" x14ac:dyDescent="0.25">
      <c r="B18" s="1" t="s">
        <v>13</v>
      </c>
      <c r="E18" s="1">
        <f>2500*1700</f>
        <v>4250000</v>
      </c>
      <c r="F18" s="1" t="s">
        <v>14</v>
      </c>
      <c r="L18" s="1" t="s">
        <v>45</v>
      </c>
      <c r="M18" s="1">
        <v>0</v>
      </c>
    </row>
    <row r="19" spans="2:33" x14ac:dyDescent="0.25">
      <c r="B19" s="1" t="s">
        <v>15</v>
      </c>
      <c r="E19" s="1">
        <v>8</v>
      </c>
      <c r="F19" s="1" t="s">
        <v>16</v>
      </c>
    </row>
    <row r="20" spans="2:33" x14ac:dyDescent="0.25">
      <c r="L20" s="1" t="s">
        <v>46</v>
      </c>
      <c r="N20" s="1">
        <f>+E14</f>
        <v>40000</v>
      </c>
      <c r="O20" s="1">
        <f>+N20</f>
        <v>40000</v>
      </c>
      <c r="P20" s="1">
        <f t="shared" ref="P20:AG20" si="1">+O20</f>
        <v>40000</v>
      </c>
      <c r="Q20" s="1">
        <f t="shared" si="1"/>
        <v>40000</v>
      </c>
      <c r="R20" s="1">
        <f t="shared" si="1"/>
        <v>40000</v>
      </c>
      <c r="S20" s="1">
        <f t="shared" si="1"/>
        <v>40000</v>
      </c>
      <c r="T20" s="1">
        <f t="shared" si="1"/>
        <v>40000</v>
      </c>
      <c r="U20" s="1">
        <f t="shared" si="1"/>
        <v>40000</v>
      </c>
      <c r="V20" s="1">
        <f t="shared" si="1"/>
        <v>40000</v>
      </c>
      <c r="W20" s="1">
        <f t="shared" si="1"/>
        <v>40000</v>
      </c>
      <c r="X20" s="1">
        <f t="shared" si="1"/>
        <v>40000</v>
      </c>
      <c r="Y20" s="1">
        <f t="shared" si="1"/>
        <v>40000</v>
      </c>
      <c r="Z20" s="1">
        <f t="shared" si="1"/>
        <v>40000</v>
      </c>
      <c r="AA20" s="1">
        <f t="shared" si="1"/>
        <v>40000</v>
      </c>
      <c r="AB20" s="1">
        <f t="shared" si="1"/>
        <v>40000</v>
      </c>
      <c r="AC20" s="1">
        <f t="shared" si="1"/>
        <v>40000</v>
      </c>
      <c r="AD20" s="1">
        <f t="shared" si="1"/>
        <v>40000</v>
      </c>
      <c r="AE20" s="1">
        <f t="shared" si="1"/>
        <v>40000</v>
      </c>
      <c r="AF20" s="1">
        <f t="shared" si="1"/>
        <v>40000</v>
      </c>
      <c r="AG20" s="1">
        <f t="shared" si="1"/>
        <v>40000</v>
      </c>
    </row>
    <row r="21" spans="2:33" x14ac:dyDescent="0.25">
      <c r="B21" s="1" t="s">
        <v>20</v>
      </c>
      <c r="L21" s="1" t="s">
        <v>18</v>
      </c>
      <c r="M21" s="1">
        <f>+E16*E8</f>
        <v>18900</v>
      </c>
      <c r="N21" s="1">
        <f>+M21</f>
        <v>18900</v>
      </c>
      <c r="O21" s="1">
        <f t="shared" ref="O21:AF21" si="2">+N21</f>
        <v>18900</v>
      </c>
      <c r="P21" s="1">
        <f t="shared" si="2"/>
        <v>18900</v>
      </c>
      <c r="Q21" s="1">
        <f t="shared" si="2"/>
        <v>18900</v>
      </c>
      <c r="R21" s="1">
        <f t="shared" si="2"/>
        <v>18900</v>
      </c>
      <c r="S21" s="1">
        <f t="shared" si="2"/>
        <v>18900</v>
      </c>
      <c r="T21" s="1">
        <f t="shared" si="2"/>
        <v>18900</v>
      </c>
      <c r="U21" s="1">
        <f t="shared" si="2"/>
        <v>18900</v>
      </c>
      <c r="V21" s="1">
        <f t="shared" si="2"/>
        <v>18900</v>
      </c>
      <c r="W21" s="1">
        <f t="shared" si="2"/>
        <v>18900</v>
      </c>
      <c r="X21" s="1">
        <f t="shared" si="2"/>
        <v>18900</v>
      </c>
      <c r="Y21" s="1">
        <f t="shared" si="2"/>
        <v>18900</v>
      </c>
      <c r="Z21" s="1">
        <f t="shared" si="2"/>
        <v>18900</v>
      </c>
      <c r="AA21" s="1">
        <f t="shared" si="2"/>
        <v>18900</v>
      </c>
      <c r="AB21" s="1">
        <f t="shared" si="2"/>
        <v>18900</v>
      </c>
      <c r="AC21" s="1">
        <f t="shared" si="2"/>
        <v>18900</v>
      </c>
      <c r="AD21" s="1">
        <f t="shared" si="2"/>
        <v>18900</v>
      </c>
      <c r="AE21" s="1">
        <f t="shared" si="2"/>
        <v>18900</v>
      </c>
      <c r="AF21" s="1">
        <f t="shared" si="2"/>
        <v>18900</v>
      </c>
    </row>
    <row r="22" spans="2:33" x14ac:dyDescent="0.25">
      <c r="F22" s="1" t="s">
        <v>52</v>
      </c>
      <c r="G22" s="1">
        <f>-M23</f>
        <v>3798900</v>
      </c>
      <c r="H22" s="10">
        <v>1</v>
      </c>
    </row>
    <row r="23" spans="2:33" x14ac:dyDescent="0.25">
      <c r="B23" s="1" t="s">
        <v>21</v>
      </c>
      <c r="F23" s="1" t="s">
        <v>53</v>
      </c>
      <c r="G23" s="1">
        <v>50000</v>
      </c>
      <c r="H23" s="11">
        <f>+G23/G22</f>
        <v>1.3161704703993261E-2</v>
      </c>
      <c r="I23" s="13">
        <f>+D106</f>
        <v>1.4999999999999999E-2</v>
      </c>
      <c r="K23" s="1" t="s">
        <v>48</v>
      </c>
      <c r="M23" s="14">
        <f>+SUM(M11:M14)-SUM(M16:M22)</f>
        <v>-3798900</v>
      </c>
      <c r="N23" s="1">
        <f t="shared" ref="N23:AG23" si="3">+SUM(N11:N14)-SUM(N16:N22)</f>
        <v>281100</v>
      </c>
      <c r="O23" s="1">
        <f t="shared" si="3"/>
        <v>281100</v>
      </c>
      <c r="P23" s="1">
        <f t="shared" si="3"/>
        <v>281100</v>
      </c>
      <c r="Q23" s="1">
        <f t="shared" si="3"/>
        <v>281100</v>
      </c>
      <c r="R23" s="1">
        <f t="shared" si="3"/>
        <v>281100</v>
      </c>
      <c r="S23" s="1">
        <f t="shared" si="3"/>
        <v>281100</v>
      </c>
      <c r="T23" s="1">
        <f t="shared" si="3"/>
        <v>281100</v>
      </c>
      <c r="U23" s="1">
        <f t="shared" si="3"/>
        <v>281100</v>
      </c>
      <c r="V23" s="1">
        <f t="shared" si="3"/>
        <v>281100</v>
      </c>
      <c r="W23" s="9">
        <f t="shared" si="3"/>
        <v>-474900</v>
      </c>
      <c r="X23" s="1">
        <f t="shared" si="3"/>
        <v>281100</v>
      </c>
      <c r="Y23" s="1">
        <f t="shared" si="3"/>
        <v>281100</v>
      </c>
      <c r="Z23" s="1">
        <f t="shared" si="3"/>
        <v>281100</v>
      </c>
      <c r="AA23" s="1">
        <f t="shared" si="3"/>
        <v>281100</v>
      </c>
      <c r="AB23" s="1">
        <f t="shared" si="3"/>
        <v>281100</v>
      </c>
      <c r="AC23" s="1">
        <f t="shared" si="3"/>
        <v>281100</v>
      </c>
      <c r="AD23" s="1">
        <f t="shared" si="3"/>
        <v>281100</v>
      </c>
      <c r="AE23" s="1">
        <f t="shared" si="3"/>
        <v>281100</v>
      </c>
      <c r="AF23" s="1">
        <f t="shared" si="3"/>
        <v>281100</v>
      </c>
      <c r="AG23" s="9">
        <f t="shared" si="3"/>
        <v>250000</v>
      </c>
    </row>
    <row r="24" spans="2:33" x14ac:dyDescent="0.25">
      <c r="B24" s="1" t="s">
        <v>22</v>
      </c>
      <c r="D24" s="1">
        <v>16</v>
      </c>
      <c r="E24" s="1" t="s">
        <v>8</v>
      </c>
      <c r="F24" s="1" t="s">
        <v>54</v>
      </c>
      <c r="G24" s="1">
        <f>+G22-G23</f>
        <v>3748900</v>
      </c>
      <c r="H24" s="12">
        <f>+H22-H23</f>
        <v>0.98683829529600675</v>
      </c>
      <c r="I24" s="13">
        <f>+D25</f>
        <v>2.5000000000000001E-2</v>
      </c>
      <c r="L24" s="1" t="s">
        <v>49</v>
      </c>
      <c r="N24" s="15">
        <f>+NPV(+V25,N23:AG23)+M23</f>
        <v>43631.788897525053</v>
      </c>
      <c r="O24" s="1" t="s">
        <v>57</v>
      </c>
    </row>
    <row r="25" spans="2:33" x14ac:dyDescent="0.25">
      <c r="B25" s="1" t="s">
        <v>23</v>
      </c>
      <c r="D25" s="4">
        <v>2.5000000000000001E-2</v>
      </c>
      <c r="L25" s="1" t="s">
        <v>50</v>
      </c>
      <c r="N25" s="15">
        <f>-PMT(V25,20,N24)</f>
        <v>2747.3687536287957</v>
      </c>
      <c r="O25" s="1" t="s">
        <v>58</v>
      </c>
      <c r="S25" s="1" t="s">
        <v>67</v>
      </c>
      <c r="V25" s="19">
        <v>2.3042725995653376E-2</v>
      </c>
    </row>
    <row r="26" spans="2:33" x14ac:dyDescent="0.25">
      <c r="G26" s="1" t="s">
        <v>55</v>
      </c>
      <c r="H26" s="13">
        <f>+H23*I23+H24*I24</f>
        <v>2.486838295296007E-2</v>
      </c>
      <c r="I26" s="1" t="s">
        <v>56</v>
      </c>
      <c r="L26" s="1" t="s">
        <v>51</v>
      </c>
      <c r="N26" s="13">
        <f>+IRR(M23:AG23)</f>
        <v>2.4256607795476448E-2</v>
      </c>
      <c r="O26" s="1" t="s">
        <v>59</v>
      </c>
      <c r="S26" s="1" t="s">
        <v>68</v>
      </c>
      <c r="V26" s="15">
        <f>+N38-N24</f>
        <v>-2.7648638933897018E-9</v>
      </c>
    </row>
    <row r="27" spans="2:33" x14ac:dyDescent="0.25">
      <c r="H27" s="13"/>
      <c r="N27" s="13"/>
    </row>
    <row r="28" spans="2:33" x14ac:dyDescent="0.25">
      <c r="H28" s="13"/>
      <c r="L28" s="16" t="s">
        <v>60</v>
      </c>
      <c r="M28" s="16"/>
      <c r="N28" s="17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2:33" x14ac:dyDescent="0.25">
      <c r="H29" s="13"/>
      <c r="L29" s="16"/>
      <c r="M29" s="16"/>
      <c r="N29" s="17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2:33" x14ac:dyDescent="0.25">
      <c r="H30" s="13"/>
      <c r="L30" s="16" t="s">
        <v>61</v>
      </c>
      <c r="M30" s="16">
        <f>+G24</f>
        <v>3748900</v>
      </c>
      <c r="N30" s="18">
        <f>+M30-N31</f>
        <v>3555460.551615024</v>
      </c>
      <c r="O30" s="18">
        <f>+N30-O31</f>
        <v>3357185.1170204235</v>
      </c>
      <c r="P30" s="18">
        <f t="shared" ref="P30:AB30" si="4">+O30-P31</f>
        <v>3153952.796560958</v>
      </c>
      <c r="Q30" s="18">
        <f t="shared" si="4"/>
        <v>2945639.6680900059</v>
      </c>
      <c r="R30" s="18">
        <f t="shared" si="4"/>
        <v>2732118.7114072801</v>
      </c>
      <c r="S30" s="18">
        <f t="shared" si="4"/>
        <v>2513259.730807486</v>
      </c>
      <c r="T30" s="18">
        <f t="shared" si="4"/>
        <v>2288929.2756926971</v>
      </c>
      <c r="U30" s="18">
        <f t="shared" si="4"/>
        <v>2058990.5592000387</v>
      </c>
      <c r="V30" s="18">
        <f t="shared" si="4"/>
        <v>1823303.3747950636</v>
      </c>
      <c r="W30" s="18">
        <f t="shared" si="4"/>
        <v>1581724.0107799643</v>
      </c>
      <c r="X30" s="18">
        <f t="shared" si="4"/>
        <v>1334105.1626644875</v>
      </c>
      <c r="Y30" s="18">
        <f t="shared" si="4"/>
        <v>1080295.8433461238</v>
      </c>
      <c r="Z30" s="18">
        <f t="shared" si="4"/>
        <v>820141.29104480101</v>
      </c>
      <c r="AA30" s="18">
        <f t="shared" si="4"/>
        <v>553482.87493594503</v>
      </c>
      <c r="AB30" s="18">
        <f t="shared" si="4"/>
        <v>280157.99842436769</v>
      </c>
      <c r="AC30" s="18">
        <f>+AB30-AC31</f>
        <v>9.3132257461547852E-10</v>
      </c>
    </row>
    <row r="31" spans="2:33" x14ac:dyDescent="0.25">
      <c r="H31" s="13"/>
      <c r="L31" s="16" t="s">
        <v>62</v>
      </c>
      <c r="M31" s="16"/>
      <c r="N31" s="18">
        <f>+N34-N32</f>
        <v>193439.44838497596</v>
      </c>
      <c r="O31" s="18">
        <f>+O34-O32</f>
        <v>198275.43459460035</v>
      </c>
      <c r="P31" s="18">
        <f t="shared" ref="P31:AC31" si="5">+P34-P32</f>
        <v>203232.32045946538</v>
      </c>
      <c r="Q31" s="18">
        <f t="shared" si="5"/>
        <v>208313.12847095198</v>
      </c>
      <c r="R31" s="18">
        <f t="shared" si="5"/>
        <v>213520.95668272581</v>
      </c>
      <c r="S31" s="18">
        <f t="shared" si="5"/>
        <v>218858.98059979395</v>
      </c>
      <c r="T31" s="18">
        <f t="shared" si="5"/>
        <v>224330.45511478881</v>
      </c>
      <c r="U31" s="18">
        <f t="shared" si="5"/>
        <v>229938.71649265854</v>
      </c>
      <c r="V31" s="18">
        <f t="shared" si="5"/>
        <v>235687.18440497498</v>
      </c>
      <c r="W31" s="18">
        <f t="shared" si="5"/>
        <v>241579.36401509936</v>
      </c>
      <c r="X31" s="18">
        <f t="shared" si="5"/>
        <v>247618.84811547684</v>
      </c>
      <c r="Y31" s="18">
        <f t="shared" si="5"/>
        <v>253809.31931836376</v>
      </c>
      <c r="Z31" s="18">
        <f t="shared" si="5"/>
        <v>260154.55230132287</v>
      </c>
      <c r="AA31" s="18">
        <f t="shared" si="5"/>
        <v>266658.41610885592</v>
      </c>
      <c r="AB31" s="18">
        <f t="shared" si="5"/>
        <v>273324.87651157734</v>
      </c>
      <c r="AC31" s="18">
        <f t="shared" si="5"/>
        <v>280157.99842436676</v>
      </c>
    </row>
    <row r="32" spans="2:33" x14ac:dyDescent="0.25">
      <c r="H32" s="13"/>
      <c r="L32" s="16" t="s">
        <v>23</v>
      </c>
      <c r="M32" s="16"/>
      <c r="N32" s="18">
        <f>+M30*$D$25</f>
        <v>93722.5</v>
      </c>
      <c r="O32" s="18">
        <f>+N30*$D$25</f>
        <v>88886.513790375611</v>
      </c>
      <c r="P32" s="18">
        <f t="shared" ref="P32:AC32" si="6">+O30*$D$25</f>
        <v>83929.627925510591</v>
      </c>
      <c r="Q32" s="18">
        <f t="shared" si="6"/>
        <v>78848.819914023959</v>
      </c>
      <c r="R32" s="18">
        <f t="shared" si="6"/>
        <v>73640.991702250147</v>
      </c>
      <c r="S32" s="18">
        <f t="shared" si="6"/>
        <v>68302.967785182002</v>
      </c>
      <c r="T32" s="18">
        <f t="shared" si="6"/>
        <v>62831.493270187151</v>
      </c>
      <c r="U32" s="18">
        <f t="shared" si="6"/>
        <v>57223.231892317432</v>
      </c>
      <c r="V32" s="18">
        <f t="shared" si="6"/>
        <v>51474.763980000971</v>
      </c>
      <c r="W32" s="18">
        <f t="shared" si="6"/>
        <v>45582.584369876597</v>
      </c>
      <c r="X32" s="18">
        <f t="shared" si="6"/>
        <v>39543.100269499111</v>
      </c>
      <c r="Y32" s="18">
        <f t="shared" si="6"/>
        <v>33352.629066612186</v>
      </c>
      <c r="Z32" s="18">
        <f t="shared" si="6"/>
        <v>27007.396083653097</v>
      </c>
      <c r="AA32" s="18">
        <f t="shared" si="6"/>
        <v>20503.532276120026</v>
      </c>
      <c r="AB32" s="18">
        <f t="shared" si="6"/>
        <v>13837.071873398627</v>
      </c>
      <c r="AC32" s="18">
        <f t="shared" si="6"/>
        <v>7003.9499606091922</v>
      </c>
    </row>
    <row r="33" spans="1:33" x14ac:dyDescent="0.25">
      <c r="H33" s="13"/>
      <c r="N33" s="13"/>
    </row>
    <row r="34" spans="1:33" x14ac:dyDescent="0.25">
      <c r="H34" s="13"/>
      <c r="L34" s="1" t="s">
        <v>63</v>
      </c>
      <c r="M34" s="1">
        <f>-M30</f>
        <v>-3748900</v>
      </c>
      <c r="N34" s="15">
        <f>-PMT(D25,D24,M30)</f>
        <v>287161.94838497596</v>
      </c>
      <c r="O34" s="15">
        <f>+N34</f>
        <v>287161.94838497596</v>
      </c>
      <c r="P34" s="15">
        <f t="shared" ref="P34:AC34" si="7">+O34</f>
        <v>287161.94838497596</v>
      </c>
      <c r="Q34" s="15">
        <f t="shared" si="7"/>
        <v>287161.94838497596</v>
      </c>
      <c r="R34" s="15">
        <f t="shared" si="7"/>
        <v>287161.94838497596</v>
      </c>
      <c r="S34" s="15">
        <f t="shared" si="7"/>
        <v>287161.94838497596</v>
      </c>
      <c r="T34" s="15">
        <f t="shared" si="7"/>
        <v>287161.94838497596</v>
      </c>
      <c r="U34" s="15">
        <f t="shared" si="7"/>
        <v>287161.94838497596</v>
      </c>
      <c r="V34" s="15">
        <f t="shared" si="7"/>
        <v>287161.94838497596</v>
      </c>
      <c r="W34" s="15">
        <f t="shared" si="7"/>
        <v>287161.94838497596</v>
      </c>
      <c r="X34" s="15">
        <f t="shared" si="7"/>
        <v>287161.94838497596</v>
      </c>
      <c r="Y34" s="15">
        <f t="shared" si="7"/>
        <v>287161.94838497596</v>
      </c>
      <c r="Z34" s="15">
        <f t="shared" si="7"/>
        <v>287161.94838497596</v>
      </c>
      <c r="AA34" s="15">
        <f t="shared" si="7"/>
        <v>287161.94838497596</v>
      </c>
      <c r="AB34" s="15">
        <f t="shared" si="7"/>
        <v>287161.94838497596</v>
      </c>
      <c r="AC34" s="15">
        <f t="shared" si="7"/>
        <v>287161.94838497596</v>
      </c>
    </row>
    <row r="35" spans="1:33" x14ac:dyDescent="0.25">
      <c r="H35" s="13"/>
      <c r="N35" s="13"/>
    </row>
    <row r="36" spans="1:33" x14ac:dyDescent="0.25">
      <c r="H36" s="13"/>
      <c r="K36" s="1" t="s">
        <v>64</v>
      </c>
      <c r="M36" s="15">
        <f>+M23-M34</f>
        <v>-50000</v>
      </c>
      <c r="N36" s="15">
        <f>+N23-N34</f>
        <v>-6061.9483849759563</v>
      </c>
      <c r="O36" s="15">
        <f t="shared" ref="O36:AG36" si="8">+O23-O34</f>
        <v>-6061.9483849759563</v>
      </c>
      <c r="P36" s="15">
        <f t="shared" si="8"/>
        <v>-6061.9483849759563</v>
      </c>
      <c r="Q36" s="15">
        <f t="shared" si="8"/>
        <v>-6061.9483849759563</v>
      </c>
      <c r="R36" s="15">
        <f t="shared" si="8"/>
        <v>-6061.9483849759563</v>
      </c>
      <c r="S36" s="15">
        <f t="shared" si="8"/>
        <v>-6061.9483849759563</v>
      </c>
      <c r="T36" s="15">
        <f t="shared" si="8"/>
        <v>-6061.9483849759563</v>
      </c>
      <c r="U36" s="15">
        <f t="shared" si="8"/>
        <v>-6061.9483849759563</v>
      </c>
      <c r="V36" s="15">
        <f t="shared" si="8"/>
        <v>-6061.9483849759563</v>
      </c>
      <c r="W36" s="15">
        <f t="shared" si="8"/>
        <v>-762061.94838497601</v>
      </c>
      <c r="X36" s="15">
        <f t="shared" si="8"/>
        <v>-6061.9483849759563</v>
      </c>
      <c r="Y36" s="15">
        <f t="shared" si="8"/>
        <v>-6061.9483849759563</v>
      </c>
      <c r="Z36" s="15">
        <f t="shared" si="8"/>
        <v>-6061.9483849759563</v>
      </c>
      <c r="AA36" s="15">
        <f t="shared" si="8"/>
        <v>-6061.9483849759563</v>
      </c>
      <c r="AB36" s="15">
        <f t="shared" si="8"/>
        <v>-6061.9483849759563</v>
      </c>
      <c r="AC36" s="15">
        <f t="shared" si="8"/>
        <v>-6061.9483849759563</v>
      </c>
      <c r="AD36" s="15">
        <f t="shared" si="8"/>
        <v>281100</v>
      </c>
      <c r="AE36" s="15">
        <f t="shared" si="8"/>
        <v>281100</v>
      </c>
      <c r="AF36" s="15">
        <f t="shared" si="8"/>
        <v>281100</v>
      </c>
      <c r="AG36" s="15">
        <f t="shared" si="8"/>
        <v>250000</v>
      </c>
    </row>
    <row r="37" spans="1:33" x14ac:dyDescent="0.25">
      <c r="H37" s="13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H38" s="13"/>
      <c r="L38" s="1" t="s">
        <v>49</v>
      </c>
      <c r="M38" s="15"/>
      <c r="N38" s="15">
        <f>+NPV(+D106,N36:AG36)+M36</f>
        <v>43631.788897522289</v>
      </c>
      <c r="O38" s="15" t="s">
        <v>69</v>
      </c>
      <c r="P38" s="15" t="s">
        <v>70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H39" s="13"/>
      <c r="L39" s="1" t="s">
        <v>65</v>
      </c>
      <c r="N39" s="15">
        <f>-PMT(D106,20,N38)</f>
        <v>2541.3656518555545</v>
      </c>
      <c r="O39" s="15" t="s">
        <v>69</v>
      </c>
      <c r="P39" s="15" t="s">
        <v>70</v>
      </c>
    </row>
    <row r="40" spans="1:33" x14ac:dyDescent="0.25">
      <c r="H40" s="13"/>
      <c r="L40" s="1" t="s">
        <v>66</v>
      </c>
      <c r="N40" s="13">
        <f>+IRR(M36:AG36)</f>
        <v>2.0909953903163414E-2</v>
      </c>
      <c r="O40" s="1" t="s">
        <v>71</v>
      </c>
      <c r="P40" s="15" t="s">
        <v>70</v>
      </c>
    </row>
    <row r="42" spans="1:33" x14ac:dyDescent="0.25">
      <c r="A42" s="2" t="s">
        <v>24</v>
      </c>
      <c r="B42" s="2" t="s">
        <v>25</v>
      </c>
      <c r="K42" s="2" t="s">
        <v>24</v>
      </c>
      <c r="L42" s="2" t="s">
        <v>25</v>
      </c>
    </row>
    <row r="44" spans="1:33" x14ac:dyDescent="0.25">
      <c r="B44" s="1" t="s">
        <v>3</v>
      </c>
      <c r="E44" s="1">
        <f>60*1050</f>
        <v>63000</v>
      </c>
      <c r="F44" s="1" t="s">
        <v>5</v>
      </c>
      <c r="K44" s="1" t="s">
        <v>38</v>
      </c>
      <c r="M44" s="1">
        <v>0</v>
      </c>
      <c r="N44" s="1">
        <v>1</v>
      </c>
      <c r="O44" s="1">
        <v>2</v>
      </c>
      <c r="P44" s="1">
        <v>3</v>
      </c>
      <c r="Q44" s="1">
        <v>4</v>
      </c>
      <c r="R44" s="1">
        <v>5</v>
      </c>
      <c r="S44" s="1">
        <v>6</v>
      </c>
      <c r="T44" s="1">
        <v>7</v>
      </c>
      <c r="U44" s="1">
        <v>8</v>
      </c>
      <c r="V44" s="1">
        <v>9</v>
      </c>
      <c r="W44" s="1">
        <v>10</v>
      </c>
      <c r="X44" s="1">
        <v>11</v>
      </c>
      <c r="Y44" s="1">
        <v>12</v>
      </c>
      <c r="Z44" s="1">
        <v>13</v>
      </c>
      <c r="AA44" s="1">
        <v>14</v>
      </c>
      <c r="AB44" s="1">
        <v>15</v>
      </c>
      <c r="AC44" s="1">
        <v>16</v>
      </c>
      <c r="AD44" s="1">
        <v>17</v>
      </c>
      <c r="AE44" s="1">
        <v>18</v>
      </c>
      <c r="AF44" s="1">
        <v>19</v>
      </c>
      <c r="AG44" s="1">
        <v>20</v>
      </c>
    </row>
    <row r="45" spans="1:33" x14ac:dyDescent="0.25">
      <c r="C45" s="1" t="s">
        <v>6</v>
      </c>
      <c r="E45" s="3">
        <v>0.7</v>
      </c>
      <c r="G45" s="1" t="s">
        <v>7</v>
      </c>
      <c r="H45" s="1">
        <v>20</v>
      </c>
      <c r="I45" s="1" t="s">
        <v>8</v>
      </c>
    </row>
    <row r="46" spans="1:33" x14ac:dyDescent="0.25">
      <c r="C46" s="1" t="s">
        <v>9</v>
      </c>
      <c r="E46" s="3">
        <v>0.2</v>
      </c>
      <c r="G46" s="1" t="s">
        <v>7</v>
      </c>
      <c r="H46" s="1">
        <v>10</v>
      </c>
      <c r="I46" s="1" t="s">
        <v>8</v>
      </c>
      <c r="K46" s="1" t="s">
        <v>39</v>
      </c>
    </row>
    <row r="47" spans="1:33" x14ac:dyDescent="0.25">
      <c r="C47" s="1" t="s">
        <v>10</v>
      </c>
      <c r="E47" s="3">
        <v>0.1</v>
      </c>
      <c r="G47" s="1" t="s">
        <v>7</v>
      </c>
      <c r="H47" s="1">
        <v>5</v>
      </c>
      <c r="I47" s="1" t="s">
        <v>8</v>
      </c>
      <c r="L47" s="1" t="s">
        <v>72</v>
      </c>
      <c r="N47" s="1">
        <f>+E53*E54/100</f>
        <v>9520</v>
      </c>
      <c r="O47" s="1">
        <f>+N47</f>
        <v>9520</v>
      </c>
      <c r="P47" s="1">
        <f t="shared" ref="P47:AG47" si="9">+O47</f>
        <v>9520</v>
      </c>
      <c r="Q47" s="1">
        <f t="shared" si="9"/>
        <v>9520</v>
      </c>
      <c r="R47" s="1">
        <f t="shared" si="9"/>
        <v>9520</v>
      </c>
      <c r="S47" s="1">
        <f t="shared" si="9"/>
        <v>9520</v>
      </c>
      <c r="T47" s="1">
        <f t="shared" si="9"/>
        <v>9520</v>
      </c>
      <c r="U47" s="1">
        <f t="shared" si="9"/>
        <v>9520</v>
      </c>
      <c r="V47" s="1">
        <f t="shared" si="9"/>
        <v>9520</v>
      </c>
      <c r="W47" s="1">
        <f t="shared" si="9"/>
        <v>9520</v>
      </c>
      <c r="X47" s="1">
        <f t="shared" si="9"/>
        <v>9520</v>
      </c>
      <c r="Y47" s="1">
        <f t="shared" si="9"/>
        <v>9520</v>
      </c>
      <c r="Z47" s="1">
        <f t="shared" si="9"/>
        <v>9520</v>
      </c>
      <c r="AA47" s="1">
        <f t="shared" si="9"/>
        <v>9520</v>
      </c>
      <c r="AB47" s="1">
        <f t="shared" si="9"/>
        <v>9520</v>
      </c>
      <c r="AC47" s="1">
        <f t="shared" si="9"/>
        <v>9520</v>
      </c>
      <c r="AD47" s="1">
        <f t="shared" si="9"/>
        <v>9520</v>
      </c>
      <c r="AE47" s="1">
        <f t="shared" si="9"/>
        <v>9520</v>
      </c>
      <c r="AF47" s="1">
        <f t="shared" si="9"/>
        <v>9520</v>
      </c>
      <c r="AG47" s="1">
        <f t="shared" si="9"/>
        <v>9520</v>
      </c>
    </row>
    <row r="48" spans="1:33" x14ac:dyDescent="0.25">
      <c r="L48" s="1" t="s">
        <v>73</v>
      </c>
      <c r="AG48" s="1">
        <v>0</v>
      </c>
    </row>
    <row r="49" spans="2:33" x14ac:dyDescent="0.25">
      <c r="B49" s="1" t="s">
        <v>11</v>
      </c>
      <c r="E49" s="1">
        <v>2500</v>
      </c>
      <c r="F49" s="1" t="s">
        <v>12</v>
      </c>
      <c r="L49" s="1" t="s">
        <v>74</v>
      </c>
      <c r="AG49" s="1">
        <v>0</v>
      </c>
    </row>
    <row r="51" spans="2:33" x14ac:dyDescent="0.25">
      <c r="B51" s="1" t="s">
        <v>31</v>
      </c>
      <c r="E51" s="4">
        <v>1.4999999999999999E-2</v>
      </c>
      <c r="F51" s="1" t="s">
        <v>19</v>
      </c>
      <c r="K51" s="1" t="s">
        <v>42</v>
      </c>
    </row>
    <row r="52" spans="2:33" x14ac:dyDescent="0.25">
      <c r="L52" s="1" t="s">
        <v>75</v>
      </c>
      <c r="M52" s="1">
        <f>+E45*E44</f>
        <v>44100</v>
      </c>
    </row>
    <row r="53" spans="2:33" x14ac:dyDescent="0.25">
      <c r="B53" s="1" t="s">
        <v>13</v>
      </c>
      <c r="E53" s="1">
        <v>68000</v>
      </c>
      <c r="F53" s="1" t="s">
        <v>14</v>
      </c>
      <c r="L53" s="1" t="s">
        <v>76</v>
      </c>
      <c r="M53" s="1">
        <f>+E46*$E$44</f>
        <v>12600</v>
      </c>
      <c r="W53" s="1">
        <f>+M53</f>
        <v>12600</v>
      </c>
    </row>
    <row r="54" spans="2:33" x14ac:dyDescent="0.25">
      <c r="B54" s="1" t="s">
        <v>32</v>
      </c>
      <c r="E54" s="1">
        <v>14</v>
      </c>
      <c r="F54" s="1" t="s">
        <v>16</v>
      </c>
      <c r="L54" s="1" t="s">
        <v>77</v>
      </c>
      <c r="M54" s="1">
        <f>+E47*$E$44</f>
        <v>6300</v>
      </c>
      <c r="R54" s="1">
        <f>+M54</f>
        <v>6300</v>
      </c>
      <c r="W54" s="1">
        <f>+R54</f>
        <v>6300</v>
      </c>
      <c r="AB54" s="1">
        <f>+W54</f>
        <v>6300</v>
      </c>
    </row>
    <row r="55" spans="2:33" x14ac:dyDescent="0.25">
      <c r="L55" s="1" t="s">
        <v>45</v>
      </c>
      <c r="M55" s="1">
        <v>0</v>
      </c>
    </row>
    <row r="56" spans="2:33" x14ac:dyDescent="0.25">
      <c r="B56" s="1" t="s">
        <v>20</v>
      </c>
    </row>
    <row r="57" spans="2:33" x14ac:dyDescent="0.25">
      <c r="L57" s="1" t="s">
        <v>46</v>
      </c>
      <c r="N57" s="1">
        <f>+E49</f>
        <v>2500</v>
      </c>
      <c r="O57" s="1">
        <f>+N57</f>
        <v>2500</v>
      </c>
      <c r="P57" s="1">
        <f t="shared" ref="P57:AG58" si="10">+O57</f>
        <v>2500</v>
      </c>
      <c r="Q57" s="1">
        <f t="shared" si="10"/>
        <v>2500</v>
      </c>
      <c r="R57" s="1">
        <f t="shared" si="10"/>
        <v>2500</v>
      </c>
      <c r="S57" s="1">
        <f t="shared" si="10"/>
        <v>2500</v>
      </c>
      <c r="T57" s="1">
        <f t="shared" si="10"/>
        <v>2500</v>
      </c>
      <c r="U57" s="1">
        <f t="shared" si="10"/>
        <v>2500</v>
      </c>
      <c r="V57" s="1">
        <f t="shared" si="10"/>
        <v>2500</v>
      </c>
      <c r="W57" s="1">
        <f t="shared" si="10"/>
        <v>2500</v>
      </c>
      <c r="X57" s="1">
        <f t="shared" si="10"/>
        <v>2500</v>
      </c>
      <c r="Y57" s="1">
        <f t="shared" si="10"/>
        <v>2500</v>
      </c>
      <c r="Z57" s="1">
        <f t="shared" si="10"/>
        <v>2500</v>
      </c>
      <c r="AA57" s="1">
        <f t="shared" si="10"/>
        <v>2500</v>
      </c>
      <c r="AB57" s="1">
        <f t="shared" si="10"/>
        <v>2500</v>
      </c>
      <c r="AC57" s="1">
        <f t="shared" si="10"/>
        <v>2500</v>
      </c>
      <c r="AD57" s="1">
        <f t="shared" si="10"/>
        <v>2500</v>
      </c>
      <c r="AE57" s="1">
        <f t="shared" si="10"/>
        <v>2500</v>
      </c>
      <c r="AF57" s="1">
        <f t="shared" si="10"/>
        <v>2500</v>
      </c>
      <c r="AG57" s="1">
        <f t="shared" si="10"/>
        <v>2500</v>
      </c>
    </row>
    <row r="58" spans="2:33" x14ac:dyDescent="0.25">
      <c r="B58" s="1" t="s">
        <v>21</v>
      </c>
      <c r="L58" s="1" t="s">
        <v>18</v>
      </c>
      <c r="M58" s="1">
        <f>+E51*E44</f>
        <v>945</v>
      </c>
      <c r="N58" s="1">
        <f>+M58</f>
        <v>945</v>
      </c>
      <c r="O58" s="1">
        <f>+N58</f>
        <v>945</v>
      </c>
      <c r="P58" s="1">
        <f t="shared" si="10"/>
        <v>945</v>
      </c>
      <c r="Q58" s="1">
        <f t="shared" si="10"/>
        <v>945</v>
      </c>
      <c r="R58" s="1">
        <f t="shared" si="10"/>
        <v>945</v>
      </c>
      <c r="S58" s="1">
        <f t="shared" si="10"/>
        <v>945</v>
      </c>
      <c r="T58" s="1">
        <f t="shared" si="10"/>
        <v>945</v>
      </c>
      <c r="U58" s="1">
        <f t="shared" si="10"/>
        <v>945</v>
      </c>
      <c r="V58" s="1">
        <f t="shared" si="10"/>
        <v>945</v>
      </c>
      <c r="W58" s="1">
        <f t="shared" si="10"/>
        <v>945</v>
      </c>
      <c r="X58" s="1">
        <f t="shared" si="10"/>
        <v>945</v>
      </c>
      <c r="Y58" s="1">
        <f t="shared" si="10"/>
        <v>945</v>
      </c>
      <c r="Z58" s="1">
        <f t="shared" si="10"/>
        <v>945</v>
      </c>
      <c r="AA58" s="1">
        <f t="shared" si="10"/>
        <v>945</v>
      </c>
      <c r="AB58" s="1">
        <f t="shared" si="10"/>
        <v>945</v>
      </c>
      <c r="AC58" s="1">
        <f t="shared" si="10"/>
        <v>945</v>
      </c>
      <c r="AD58" s="1">
        <f t="shared" si="10"/>
        <v>945</v>
      </c>
      <c r="AE58" s="1">
        <f t="shared" si="10"/>
        <v>945</v>
      </c>
      <c r="AF58" s="1">
        <f t="shared" si="10"/>
        <v>945</v>
      </c>
    </row>
    <row r="59" spans="2:33" x14ac:dyDescent="0.25">
      <c r="B59" s="1" t="s">
        <v>22</v>
      </c>
      <c r="D59" s="1">
        <v>16</v>
      </c>
      <c r="E59" s="1" t="s">
        <v>8</v>
      </c>
    </row>
    <row r="60" spans="2:33" x14ac:dyDescent="0.25">
      <c r="B60" s="1" t="s">
        <v>23</v>
      </c>
      <c r="D60" s="4">
        <v>2.5000000000000001E-2</v>
      </c>
      <c r="K60" s="1" t="s">
        <v>48</v>
      </c>
      <c r="M60" s="1">
        <f>+SUM(M47:M50)-SUM(M52:M59)</f>
        <v>-63945</v>
      </c>
      <c r="N60" s="1">
        <f t="shared" ref="N60:AG60" si="11">+SUM(N47:N50)-SUM(N52:N59)</f>
        <v>6075</v>
      </c>
      <c r="O60" s="1">
        <f t="shared" si="11"/>
        <v>6075</v>
      </c>
      <c r="P60" s="1">
        <f t="shared" si="11"/>
        <v>6075</v>
      </c>
      <c r="Q60" s="1">
        <f t="shared" si="11"/>
        <v>6075</v>
      </c>
      <c r="R60" s="1">
        <f t="shared" si="11"/>
        <v>-225</v>
      </c>
      <c r="S60" s="1">
        <f t="shared" si="11"/>
        <v>6075</v>
      </c>
      <c r="T60" s="1">
        <f t="shared" si="11"/>
        <v>6075</v>
      </c>
      <c r="U60" s="1">
        <f t="shared" si="11"/>
        <v>6075</v>
      </c>
      <c r="V60" s="1">
        <f t="shared" si="11"/>
        <v>6075</v>
      </c>
      <c r="W60" s="1">
        <f t="shared" si="11"/>
        <v>-12825</v>
      </c>
      <c r="X60" s="1">
        <f t="shared" si="11"/>
        <v>6075</v>
      </c>
      <c r="Y60" s="1">
        <f t="shared" si="11"/>
        <v>6075</v>
      </c>
      <c r="Z60" s="1">
        <f t="shared" si="11"/>
        <v>6075</v>
      </c>
      <c r="AA60" s="1">
        <f t="shared" si="11"/>
        <v>6075</v>
      </c>
      <c r="AB60" s="1">
        <f t="shared" si="11"/>
        <v>-225</v>
      </c>
      <c r="AC60" s="1">
        <f t="shared" si="11"/>
        <v>6075</v>
      </c>
      <c r="AD60" s="1">
        <f t="shared" si="11"/>
        <v>6075</v>
      </c>
      <c r="AE60" s="1">
        <f t="shared" si="11"/>
        <v>6075</v>
      </c>
      <c r="AF60" s="1">
        <f t="shared" si="11"/>
        <v>6075</v>
      </c>
      <c r="AG60" s="1">
        <f t="shared" si="11"/>
        <v>7020</v>
      </c>
    </row>
    <row r="61" spans="2:33" x14ac:dyDescent="0.25">
      <c r="D61" s="4"/>
    </row>
    <row r="62" spans="2:33" x14ac:dyDescent="0.25">
      <c r="D62" s="4"/>
      <c r="F62" s="1" t="s">
        <v>82</v>
      </c>
      <c r="G62" s="1" t="s">
        <v>83</v>
      </c>
      <c r="L62" s="1" t="s">
        <v>49</v>
      </c>
      <c r="N62" s="15">
        <f>+NPV(R64,N60:AG60)+M60</f>
        <v>12733.866712870324</v>
      </c>
    </row>
    <row r="63" spans="2:33" x14ac:dyDescent="0.25">
      <c r="B63" s="1" t="s">
        <v>81</v>
      </c>
      <c r="D63" s="4" t="s">
        <v>52</v>
      </c>
      <c r="E63" s="1">
        <f>-M60</f>
        <v>63945</v>
      </c>
      <c r="F63" s="10">
        <v>1</v>
      </c>
      <c r="G63" s="13">
        <f>+F64*G64+F65*G65</f>
        <v>1.7180780358120259E-2</v>
      </c>
      <c r="H63" s="1" t="s">
        <v>84</v>
      </c>
      <c r="L63" s="1" t="s">
        <v>65</v>
      </c>
      <c r="N63" s="15">
        <f>-PMT(R64,20,N62)</f>
        <v>752.66108272062729</v>
      </c>
      <c r="P63" s="1" t="s">
        <v>87</v>
      </c>
      <c r="R63" s="15">
        <f>+N62-N72</f>
        <v>-1.8280843505635858E-7</v>
      </c>
      <c r="T63" s="1">
        <f>3800000/63000</f>
        <v>60.317460317460316</v>
      </c>
      <c r="U63" s="1" t="s">
        <v>85</v>
      </c>
    </row>
    <row r="64" spans="2:33" x14ac:dyDescent="0.25">
      <c r="D64" s="4" t="s">
        <v>53</v>
      </c>
      <c r="E64" s="1">
        <v>50000</v>
      </c>
      <c r="F64" s="20">
        <f>+E64/$E$63</f>
        <v>0.78192196418797399</v>
      </c>
      <c r="G64" s="13">
        <f>+D106</f>
        <v>1.4999999999999999E-2</v>
      </c>
      <c r="L64" s="1" t="s">
        <v>51</v>
      </c>
      <c r="N64" s="13">
        <f>+IRR(M60:AG60)</f>
        <v>3.570398990936785E-2</v>
      </c>
      <c r="P64" s="1" t="s">
        <v>88</v>
      </c>
      <c r="R64" s="13">
        <v>1.6493804048884484E-2</v>
      </c>
      <c r="T64" s="21">
        <f>+T63*N63</f>
        <v>45398.604989498155</v>
      </c>
      <c r="U64" s="1" t="s">
        <v>86</v>
      </c>
    </row>
    <row r="65" spans="1:33" x14ac:dyDescent="0.25">
      <c r="D65" s="4" t="s">
        <v>54</v>
      </c>
      <c r="E65" s="1">
        <f>+E63-E64</f>
        <v>13945</v>
      </c>
      <c r="F65" s="20">
        <f>+E65/$E$63</f>
        <v>0.21807803581202595</v>
      </c>
      <c r="G65" s="13">
        <f>+D60</f>
        <v>2.5000000000000001E-2</v>
      </c>
    </row>
    <row r="66" spans="1:33" x14ac:dyDescent="0.25">
      <c r="D66" s="4"/>
      <c r="L66" s="1" t="s">
        <v>78</v>
      </c>
    </row>
    <row r="67" spans="1:33" x14ac:dyDescent="0.25">
      <c r="D67" s="4"/>
    </row>
    <row r="68" spans="1:33" x14ac:dyDescent="0.25">
      <c r="D68" s="4"/>
      <c r="L68" s="1" t="s">
        <v>79</v>
      </c>
      <c r="M68" s="1">
        <f>-E65</f>
        <v>-13945</v>
      </c>
      <c r="N68" s="15">
        <f>+PMT(G65,D59,M68)</f>
        <v>1068.1728961104566</v>
      </c>
      <c r="O68" s="15">
        <f>+N68</f>
        <v>1068.1728961104566</v>
      </c>
      <c r="P68" s="15">
        <f t="shared" ref="P68:AC68" si="12">+O68</f>
        <v>1068.1728961104566</v>
      </c>
      <c r="Q68" s="15">
        <f t="shared" si="12"/>
        <v>1068.1728961104566</v>
      </c>
      <c r="R68" s="15">
        <f t="shared" si="12"/>
        <v>1068.1728961104566</v>
      </c>
      <c r="S68" s="15">
        <f t="shared" si="12"/>
        <v>1068.1728961104566</v>
      </c>
      <c r="T68" s="15">
        <f t="shared" si="12"/>
        <v>1068.1728961104566</v>
      </c>
      <c r="U68" s="15">
        <f t="shared" si="12"/>
        <v>1068.1728961104566</v>
      </c>
      <c r="V68" s="15">
        <f t="shared" si="12"/>
        <v>1068.1728961104566</v>
      </c>
      <c r="W68" s="15">
        <f t="shared" si="12"/>
        <v>1068.1728961104566</v>
      </c>
      <c r="X68" s="15">
        <f t="shared" si="12"/>
        <v>1068.1728961104566</v>
      </c>
      <c r="Y68" s="15">
        <f t="shared" si="12"/>
        <v>1068.1728961104566</v>
      </c>
      <c r="Z68" s="15">
        <f t="shared" si="12"/>
        <v>1068.1728961104566</v>
      </c>
      <c r="AA68" s="15">
        <f t="shared" si="12"/>
        <v>1068.1728961104566</v>
      </c>
      <c r="AB68" s="15">
        <f t="shared" si="12"/>
        <v>1068.1728961104566</v>
      </c>
      <c r="AC68" s="15">
        <f t="shared" si="12"/>
        <v>1068.1728961104566</v>
      </c>
    </row>
    <row r="69" spans="1:33" x14ac:dyDescent="0.25">
      <c r="D69" s="4"/>
    </row>
    <row r="70" spans="1:33" x14ac:dyDescent="0.25">
      <c r="D70" s="4"/>
      <c r="K70" s="1" t="s">
        <v>64</v>
      </c>
      <c r="M70" s="15">
        <f>+M60-M68</f>
        <v>-50000</v>
      </c>
      <c r="N70" s="15">
        <f t="shared" ref="N70:AG70" si="13">+N60-N68</f>
        <v>5006.8271038895437</v>
      </c>
      <c r="O70" s="15">
        <f t="shared" si="13"/>
        <v>5006.8271038895437</v>
      </c>
      <c r="P70" s="15">
        <f t="shared" si="13"/>
        <v>5006.8271038895437</v>
      </c>
      <c r="Q70" s="15">
        <f t="shared" si="13"/>
        <v>5006.8271038895437</v>
      </c>
      <c r="R70" s="15">
        <f t="shared" si="13"/>
        <v>-1293.1728961104566</v>
      </c>
      <c r="S70" s="15">
        <f t="shared" si="13"/>
        <v>5006.8271038895437</v>
      </c>
      <c r="T70" s="15">
        <f t="shared" si="13"/>
        <v>5006.8271038895437</v>
      </c>
      <c r="U70" s="15">
        <f t="shared" si="13"/>
        <v>5006.8271038895437</v>
      </c>
      <c r="V70" s="15">
        <f t="shared" si="13"/>
        <v>5006.8271038895437</v>
      </c>
      <c r="W70" s="15">
        <f t="shared" si="13"/>
        <v>-13893.172896110456</v>
      </c>
      <c r="X70" s="15">
        <f t="shared" si="13"/>
        <v>5006.8271038895437</v>
      </c>
      <c r="Y70" s="15">
        <f t="shared" si="13"/>
        <v>5006.8271038895437</v>
      </c>
      <c r="Z70" s="15">
        <f t="shared" si="13"/>
        <v>5006.8271038895437</v>
      </c>
      <c r="AA70" s="15">
        <f t="shared" si="13"/>
        <v>5006.8271038895437</v>
      </c>
      <c r="AB70" s="15">
        <f t="shared" si="13"/>
        <v>-1293.1728961104566</v>
      </c>
      <c r="AC70" s="15">
        <f t="shared" si="13"/>
        <v>5006.8271038895437</v>
      </c>
      <c r="AD70" s="15">
        <f t="shared" si="13"/>
        <v>6075</v>
      </c>
      <c r="AE70" s="15">
        <f t="shared" si="13"/>
        <v>6075</v>
      </c>
      <c r="AF70" s="15">
        <f t="shared" si="13"/>
        <v>6075</v>
      </c>
      <c r="AG70" s="15">
        <f t="shared" si="13"/>
        <v>7020</v>
      </c>
    </row>
    <row r="71" spans="1:33" x14ac:dyDescent="0.25">
      <c r="D71" s="4"/>
    </row>
    <row r="72" spans="1:33" x14ac:dyDescent="0.25">
      <c r="D72" s="4"/>
      <c r="L72" s="1" t="s">
        <v>49</v>
      </c>
      <c r="N72" s="15">
        <f>+NPV(G64,N70:AG70)+M70</f>
        <v>12733.866713053132</v>
      </c>
    </row>
    <row r="73" spans="1:33" x14ac:dyDescent="0.25">
      <c r="L73" s="1" t="s">
        <v>65</v>
      </c>
      <c r="N73" s="15">
        <f>-PMT(G64,20,N72)</f>
        <v>741.69343722915107</v>
      </c>
    </row>
    <row r="74" spans="1:33" x14ac:dyDescent="0.25">
      <c r="L74" s="1" t="s">
        <v>80</v>
      </c>
      <c r="N74" s="13">
        <f>+IRR(M70:AG70)</f>
        <v>3.8029304083834647E-2</v>
      </c>
    </row>
    <row r="77" spans="1:33" x14ac:dyDescent="0.25">
      <c r="A77" s="2" t="s">
        <v>26</v>
      </c>
      <c r="B77" s="2" t="s">
        <v>27</v>
      </c>
      <c r="K77" s="2" t="s">
        <v>26</v>
      </c>
      <c r="L77" s="2" t="s">
        <v>27</v>
      </c>
    </row>
    <row r="78" spans="1:33" x14ac:dyDescent="0.25">
      <c r="R78" s="1">
        <v>0</v>
      </c>
      <c r="S78" s="1">
        <v>1</v>
      </c>
      <c r="T78" s="1">
        <v>2</v>
      </c>
      <c r="U78" s="1">
        <v>3</v>
      </c>
      <c r="V78" s="1">
        <v>4</v>
      </c>
      <c r="W78" s="1">
        <v>5</v>
      </c>
    </row>
    <row r="79" spans="1:33" x14ac:dyDescent="0.25">
      <c r="B79" s="1" t="s">
        <v>3</v>
      </c>
      <c r="E79" s="1">
        <v>100000</v>
      </c>
      <c r="F79" s="1" t="s">
        <v>5</v>
      </c>
      <c r="K79" s="1" t="s">
        <v>38</v>
      </c>
      <c r="M79" s="1">
        <v>0</v>
      </c>
      <c r="N79" s="1">
        <v>1</v>
      </c>
      <c r="O79" s="1">
        <v>2</v>
      </c>
      <c r="P79" s="1">
        <v>3</v>
      </c>
      <c r="Q79" s="1">
        <v>4</v>
      </c>
      <c r="R79" s="1">
        <v>5</v>
      </c>
      <c r="S79" s="1">
        <v>6</v>
      </c>
      <c r="T79" s="1">
        <v>7</v>
      </c>
      <c r="U79" s="1">
        <v>8</v>
      </c>
      <c r="V79" s="1">
        <v>9</v>
      </c>
      <c r="W79" s="1">
        <v>10</v>
      </c>
    </row>
    <row r="80" spans="1:33" x14ac:dyDescent="0.25">
      <c r="C80" s="1" t="s">
        <v>10</v>
      </c>
      <c r="E80" s="3">
        <v>1</v>
      </c>
      <c r="G80" s="1" t="s">
        <v>7</v>
      </c>
      <c r="H80" s="1">
        <v>5</v>
      </c>
      <c r="I80" s="1" t="s">
        <v>8</v>
      </c>
    </row>
    <row r="81" spans="2:23" x14ac:dyDescent="0.25">
      <c r="J81" s="6"/>
      <c r="K81" s="1" t="s">
        <v>39</v>
      </c>
    </row>
    <row r="82" spans="2:23" x14ac:dyDescent="0.25">
      <c r="B82" s="1" t="s">
        <v>34</v>
      </c>
      <c r="E82" s="1">
        <v>20000</v>
      </c>
      <c r="F82" s="1" t="s">
        <v>5</v>
      </c>
      <c r="L82" s="1" t="s">
        <v>33</v>
      </c>
      <c r="N82" s="1">
        <f>+$E$88</f>
        <v>57500</v>
      </c>
      <c r="O82" s="1">
        <f t="shared" ref="O82:W82" si="14">+$E$88</f>
        <v>57500</v>
      </c>
      <c r="P82" s="1">
        <f t="shared" si="14"/>
        <v>57500</v>
      </c>
      <c r="Q82" s="1">
        <f t="shared" si="14"/>
        <v>57500</v>
      </c>
      <c r="R82" s="1">
        <f t="shared" si="14"/>
        <v>57500</v>
      </c>
      <c r="S82" s="1">
        <f t="shared" si="14"/>
        <v>57500</v>
      </c>
      <c r="T82" s="1">
        <f t="shared" si="14"/>
        <v>57500</v>
      </c>
      <c r="U82" s="1">
        <f t="shared" si="14"/>
        <v>57500</v>
      </c>
      <c r="V82" s="1">
        <f t="shared" si="14"/>
        <v>57500</v>
      </c>
      <c r="W82" s="1">
        <f t="shared" si="14"/>
        <v>57500</v>
      </c>
    </row>
    <row r="83" spans="2:23" x14ac:dyDescent="0.25">
      <c r="L83" s="1" t="s">
        <v>73</v>
      </c>
      <c r="R83" s="1">
        <f>+M88</f>
        <v>0</v>
      </c>
      <c r="W83" s="1">
        <f>+R88</f>
        <v>0</v>
      </c>
    </row>
    <row r="84" spans="2:23" x14ac:dyDescent="0.25">
      <c r="B84" s="1" t="s">
        <v>11</v>
      </c>
      <c r="E84" s="1">
        <v>36000</v>
      </c>
      <c r="F84" s="1" t="s">
        <v>12</v>
      </c>
      <c r="J84" s="6"/>
      <c r="L84" s="1" t="s">
        <v>74</v>
      </c>
      <c r="R84" s="1">
        <f>+E82</f>
        <v>20000</v>
      </c>
      <c r="W84" s="1">
        <f>+R84</f>
        <v>20000</v>
      </c>
    </row>
    <row r="86" spans="2:23" x14ac:dyDescent="0.25">
      <c r="B86" s="1" t="s">
        <v>18</v>
      </c>
      <c r="E86" s="1">
        <v>1500</v>
      </c>
      <c r="F86" s="1" t="s">
        <v>12</v>
      </c>
      <c r="K86" s="1" t="s">
        <v>42</v>
      </c>
    </row>
    <row r="87" spans="2:23" x14ac:dyDescent="0.25">
      <c r="L87" s="1" t="s">
        <v>89</v>
      </c>
      <c r="M87" s="1">
        <f>+E79</f>
        <v>100000</v>
      </c>
      <c r="R87" s="1">
        <f>+M87</f>
        <v>100000</v>
      </c>
    </row>
    <row r="88" spans="2:23" x14ac:dyDescent="0.25">
      <c r="B88" s="1" t="s">
        <v>33</v>
      </c>
      <c r="E88" s="1">
        <v>57500</v>
      </c>
      <c r="F88" s="1" t="s">
        <v>12</v>
      </c>
      <c r="L88" s="1" t="s">
        <v>45</v>
      </c>
      <c r="M88" s="1">
        <v>0</v>
      </c>
      <c r="R88" s="1">
        <v>0</v>
      </c>
    </row>
    <row r="89" spans="2:23" x14ac:dyDescent="0.25">
      <c r="J89" s="6"/>
    </row>
    <row r="90" spans="2:23" x14ac:dyDescent="0.25">
      <c r="B90" s="1" t="s">
        <v>20</v>
      </c>
      <c r="L90" s="1" t="s">
        <v>46</v>
      </c>
      <c r="N90" s="1">
        <f>+$E$84</f>
        <v>36000</v>
      </c>
      <c r="O90" s="1">
        <f t="shared" ref="O90:R90" si="15">+$E$84</f>
        <v>36000</v>
      </c>
      <c r="P90" s="1">
        <f t="shared" si="15"/>
        <v>36000</v>
      </c>
      <c r="Q90" s="1">
        <f t="shared" si="15"/>
        <v>36000</v>
      </c>
      <c r="R90" s="1">
        <f t="shared" si="15"/>
        <v>36000</v>
      </c>
      <c r="S90" s="1">
        <f>+R90</f>
        <v>36000</v>
      </c>
      <c r="T90" s="1">
        <f t="shared" ref="T90:W90" si="16">+S90</f>
        <v>36000</v>
      </c>
      <c r="U90" s="1">
        <f t="shared" si="16"/>
        <v>36000</v>
      </c>
      <c r="V90" s="1">
        <f t="shared" si="16"/>
        <v>36000</v>
      </c>
      <c r="W90" s="1">
        <f t="shared" si="16"/>
        <v>36000</v>
      </c>
    </row>
    <row r="91" spans="2:23" x14ac:dyDescent="0.25">
      <c r="L91" s="1" t="s">
        <v>18</v>
      </c>
      <c r="M91" s="1">
        <f>+$E$86</f>
        <v>1500</v>
      </c>
      <c r="N91" s="1">
        <f t="shared" ref="N91:V91" si="17">+$E$86</f>
        <v>1500</v>
      </c>
      <c r="O91" s="1">
        <f t="shared" si="17"/>
        <v>1500</v>
      </c>
      <c r="P91" s="1">
        <f t="shared" si="17"/>
        <v>1500</v>
      </c>
      <c r="Q91" s="1">
        <f t="shared" si="17"/>
        <v>1500</v>
      </c>
      <c r="R91" s="1">
        <f t="shared" si="17"/>
        <v>1500</v>
      </c>
      <c r="S91" s="1">
        <f t="shared" si="17"/>
        <v>1500</v>
      </c>
      <c r="T91" s="1">
        <f t="shared" si="17"/>
        <v>1500</v>
      </c>
      <c r="U91" s="1">
        <f t="shared" si="17"/>
        <v>1500</v>
      </c>
      <c r="V91" s="1">
        <f t="shared" si="17"/>
        <v>1500</v>
      </c>
    </row>
    <row r="92" spans="2:23" x14ac:dyDescent="0.25">
      <c r="B92" s="1" t="s">
        <v>21</v>
      </c>
    </row>
    <row r="93" spans="2:23" x14ac:dyDescent="0.25">
      <c r="B93" s="1" t="s">
        <v>22</v>
      </c>
      <c r="D93" s="1">
        <v>4</v>
      </c>
      <c r="E93" s="1" t="s">
        <v>8</v>
      </c>
      <c r="K93" s="1" t="s">
        <v>48</v>
      </c>
      <c r="M93" s="1">
        <f>+SUM(M82:M84)-SUM(M87:M91)</f>
        <v>-101500</v>
      </c>
      <c r="N93" s="1">
        <f t="shared" ref="N93:W93" si="18">+SUM(N82:N84)-SUM(N87:N91)</f>
        <v>20000</v>
      </c>
      <c r="O93" s="1">
        <f t="shared" si="18"/>
        <v>20000</v>
      </c>
      <c r="P93" s="1">
        <f t="shared" si="18"/>
        <v>20000</v>
      </c>
      <c r="Q93" s="1">
        <f t="shared" si="18"/>
        <v>20000</v>
      </c>
      <c r="R93" s="1">
        <f t="shared" si="18"/>
        <v>-60000</v>
      </c>
      <c r="S93" s="1">
        <f t="shared" si="18"/>
        <v>20000</v>
      </c>
      <c r="T93" s="1">
        <f t="shared" si="18"/>
        <v>20000</v>
      </c>
      <c r="U93" s="1">
        <f t="shared" si="18"/>
        <v>20000</v>
      </c>
      <c r="V93" s="1">
        <f t="shared" si="18"/>
        <v>20000</v>
      </c>
      <c r="W93" s="1">
        <f t="shared" si="18"/>
        <v>41500</v>
      </c>
    </row>
    <row r="94" spans="2:23" x14ac:dyDescent="0.25">
      <c r="B94" s="1" t="s">
        <v>23</v>
      </c>
      <c r="D94" s="4">
        <v>2.5000000000000001E-2</v>
      </c>
      <c r="J94" s="6"/>
    </row>
    <row r="95" spans="2:23" x14ac:dyDescent="0.25">
      <c r="L95" s="1" t="s">
        <v>49</v>
      </c>
      <c r="M95" s="15">
        <f>+NPV(G97,N93:W93)+M93</f>
        <v>23274.756590415869</v>
      </c>
      <c r="N95" s="1" t="s">
        <v>5</v>
      </c>
      <c r="O95" s="1" t="s">
        <v>90</v>
      </c>
    </row>
    <row r="96" spans="2:23" x14ac:dyDescent="0.25">
      <c r="D96" s="4"/>
      <c r="F96" s="1" t="s">
        <v>82</v>
      </c>
      <c r="G96" s="1" t="s">
        <v>83</v>
      </c>
      <c r="L96" s="1" t="s">
        <v>65</v>
      </c>
      <c r="M96" s="15">
        <f>-PMT(G97,10,M95)</f>
        <v>2592.099678501278</v>
      </c>
      <c r="N96" s="15" t="s">
        <v>12</v>
      </c>
    </row>
    <row r="97" spans="1:13" x14ac:dyDescent="0.25">
      <c r="B97" s="1" t="s">
        <v>81</v>
      </c>
      <c r="D97" s="4" t="s">
        <v>52</v>
      </c>
      <c r="E97" s="1">
        <f>-M93</f>
        <v>101500</v>
      </c>
      <c r="F97" s="10">
        <v>1</v>
      </c>
      <c r="G97" s="13">
        <f>+F98*G98+F99*G99</f>
        <v>2.0073891625615764E-2</v>
      </c>
      <c r="H97" s="1" t="s">
        <v>84</v>
      </c>
      <c r="L97" s="1" t="s">
        <v>51</v>
      </c>
      <c r="M97" s="13">
        <f>+IRR(M93:W93)</f>
        <v>5.6143722829892218E-2</v>
      </c>
    </row>
    <row r="98" spans="1:13" x14ac:dyDescent="0.25">
      <c r="D98" s="4" t="s">
        <v>53</v>
      </c>
      <c r="E98" s="1">
        <v>50000</v>
      </c>
      <c r="F98" s="20">
        <f>+E98/$E$97</f>
        <v>0.49261083743842365</v>
      </c>
      <c r="G98" s="13">
        <f>+D106</f>
        <v>1.4999999999999999E-2</v>
      </c>
    </row>
    <row r="99" spans="1:13" x14ac:dyDescent="0.25">
      <c r="D99" s="4" t="s">
        <v>54</v>
      </c>
      <c r="E99" s="1">
        <f>+E97-E98</f>
        <v>51500</v>
      </c>
      <c r="F99" s="20">
        <f>+F97-F98</f>
        <v>0.50738916256157629</v>
      </c>
      <c r="G99" s="13">
        <f>+D94</f>
        <v>2.5000000000000001E-2</v>
      </c>
    </row>
    <row r="104" spans="1:13" x14ac:dyDescent="0.25">
      <c r="A104" s="2" t="s">
        <v>28</v>
      </c>
      <c r="B104" s="2" t="s">
        <v>29</v>
      </c>
    </row>
    <row r="106" spans="1:13" x14ac:dyDescent="0.25">
      <c r="B106" s="1" t="s">
        <v>30</v>
      </c>
      <c r="D106" s="4">
        <v>1.4999999999999999E-2</v>
      </c>
    </row>
    <row r="107" spans="1:13" x14ac:dyDescent="0.25">
      <c r="B107" s="1" t="s">
        <v>36</v>
      </c>
      <c r="D107" s="1">
        <v>50000</v>
      </c>
      <c r="J107" s="7"/>
    </row>
    <row r="108" spans="1:13" x14ac:dyDescent="0.25">
      <c r="J108" s="7"/>
    </row>
    <row r="109" spans="1:13" x14ac:dyDescent="0.25">
      <c r="J109" s="7"/>
    </row>
  </sheetData>
  <pageMargins left="0.23622047244094491" right="0.23622047244094491" top="0.74803149606299213" bottom="0.74803149606299213" header="0.31496062992125984" footer="0.31496062992125984"/>
  <pageSetup paperSize="8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2"/>
  <sheetViews>
    <sheetView topLeftCell="A92" zoomScale="130" zoomScaleNormal="130" workbookViewId="0">
      <selection activeCell="M99" sqref="M99"/>
    </sheetView>
  </sheetViews>
  <sheetFormatPr baseColWidth="10" defaultColWidth="9.140625" defaultRowHeight="15" x14ac:dyDescent="0.25"/>
  <cols>
    <col min="1" max="1" width="2.7109375" style="1" customWidth="1"/>
    <col min="2" max="5" width="9.140625" style="1"/>
    <col min="6" max="6" width="12.42578125" style="1" bestFit="1" customWidth="1"/>
    <col min="7" max="8" width="9.140625" style="1"/>
    <col min="9" max="9" width="10.5703125" style="1" bestFit="1" customWidth="1"/>
    <col min="10" max="10" width="1.140625" style="5" customWidth="1"/>
    <col min="11" max="11" width="2.7109375" style="1" customWidth="1"/>
    <col min="12" max="12" width="19.28515625" style="1" customWidth="1"/>
    <col min="13" max="13" width="9.7109375" style="1" customWidth="1"/>
    <col min="14" max="14" width="11.140625" style="1" customWidth="1"/>
    <col min="15" max="17" width="9.140625" style="1"/>
    <col min="18" max="18" width="10.42578125" style="1" bestFit="1" customWidth="1"/>
    <col min="19" max="19" width="9.140625" style="1"/>
    <col min="20" max="20" width="9.42578125" style="1" bestFit="1" customWidth="1"/>
    <col min="21" max="21" width="9.140625" style="1"/>
    <col min="22" max="22" width="10.42578125" style="1" bestFit="1" customWidth="1"/>
    <col min="23" max="16384" width="9.140625" style="1"/>
  </cols>
  <sheetData>
    <row r="1" spans="1:33" x14ac:dyDescent="0.25">
      <c r="B1" s="1" t="s">
        <v>37</v>
      </c>
    </row>
    <row r="2" spans="1:33" x14ac:dyDescent="0.25">
      <c r="B2" s="1" t="s">
        <v>35</v>
      </c>
    </row>
    <row r="3" spans="1:33" x14ac:dyDescent="0.25">
      <c r="B3" s="1" t="s">
        <v>0</v>
      </c>
    </row>
    <row r="4" spans="1:33" x14ac:dyDescent="0.25">
      <c r="B4" s="1" t="s">
        <v>1</v>
      </c>
    </row>
    <row r="6" spans="1:33" x14ac:dyDescent="0.25">
      <c r="A6" s="2" t="s">
        <v>2</v>
      </c>
      <c r="B6" s="2" t="s">
        <v>4</v>
      </c>
      <c r="K6" s="2" t="s">
        <v>2</v>
      </c>
      <c r="L6" s="2" t="s">
        <v>4</v>
      </c>
    </row>
    <row r="8" spans="1:33" x14ac:dyDescent="0.25">
      <c r="B8" s="1" t="s">
        <v>3</v>
      </c>
      <c r="E8" s="1">
        <v>3780000</v>
      </c>
      <c r="F8" s="1" t="s">
        <v>5</v>
      </c>
      <c r="K8" s="1" t="s">
        <v>38</v>
      </c>
      <c r="M8" s="1">
        <v>0</v>
      </c>
      <c r="N8" s="1">
        <v>1</v>
      </c>
      <c r="O8" s="1">
        <v>2</v>
      </c>
      <c r="P8" s="1">
        <v>3</v>
      </c>
      <c r="Q8" s="1">
        <v>4</v>
      </c>
      <c r="R8" s="1">
        <v>5</v>
      </c>
      <c r="S8" s="1">
        <v>6</v>
      </c>
      <c r="T8" s="1">
        <v>7</v>
      </c>
      <c r="U8" s="1">
        <v>8</v>
      </c>
      <c r="V8" s="1">
        <v>9</v>
      </c>
      <c r="W8" s="1">
        <v>10</v>
      </c>
      <c r="X8" s="1">
        <v>11</v>
      </c>
      <c r="Y8" s="1">
        <v>12</v>
      </c>
      <c r="Z8" s="1">
        <v>13</v>
      </c>
      <c r="AA8" s="1">
        <v>14</v>
      </c>
      <c r="AB8" s="1">
        <v>15</v>
      </c>
      <c r="AC8" s="1">
        <v>16</v>
      </c>
      <c r="AD8" s="1">
        <v>17</v>
      </c>
      <c r="AE8" s="1">
        <v>18</v>
      </c>
      <c r="AF8" s="1">
        <v>19</v>
      </c>
      <c r="AG8" s="1">
        <v>20</v>
      </c>
    </row>
    <row r="9" spans="1:33" x14ac:dyDescent="0.25">
      <c r="C9" s="1" t="s">
        <v>6</v>
      </c>
      <c r="E9" s="3">
        <v>0.8</v>
      </c>
      <c r="G9" s="1" t="s">
        <v>7</v>
      </c>
      <c r="H9" s="1">
        <v>20</v>
      </c>
      <c r="I9" s="1" t="s">
        <v>8</v>
      </c>
    </row>
    <row r="10" spans="1:33" x14ac:dyDescent="0.25">
      <c r="C10" s="1" t="s">
        <v>9</v>
      </c>
      <c r="E10" s="3">
        <v>0.2</v>
      </c>
      <c r="G10" s="1" t="s">
        <v>7</v>
      </c>
      <c r="H10" s="1">
        <v>10</v>
      </c>
      <c r="I10" s="1" t="s">
        <v>8</v>
      </c>
      <c r="K10" s="1" t="s">
        <v>39</v>
      </c>
    </row>
    <row r="11" spans="1:33" x14ac:dyDescent="0.25">
      <c r="L11" s="1" t="s">
        <v>40</v>
      </c>
      <c r="N11" s="1">
        <f>+E18*E19/100</f>
        <v>340000</v>
      </c>
      <c r="O11" s="1">
        <f>+N11</f>
        <v>340000</v>
      </c>
      <c r="P11" s="1">
        <f t="shared" ref="P11:AG11" si="0">+O11</f>
        <v>340000</v>
      </c>
      <c r="Q11" s="1">
        <f t="shared" si="0"/>
        <v>340000</v>
      </c>
      <c r="R11" s="1">
        <f t="shared" si="0"/>
        <v>340000</v>
      </c>
      <c r="S11" s="1">
        <f t="shared" si="0"/>
        <v>340000</v>
      </c>
      <c r="T11" s="1">
        <f t="shared" si="0"/>
        <v>340000</v>
      </c>
      <c r="U11" s="1">
        <f t="shared" si="0"/>
        <v>340000</v>
      </c>
      <c r="V11" s="1">
        <f t="shared" si="0"/>
        <v>340000</v>
      </c>
      <c r="W11" s="1">
        <f t="shared" si="0"/>
        <v>340000</v>
      </c>
      <c r="X11" s="1">
        <f t="shared" si="0"/>
        <v>340000</v>
      </c>
      <c r="Y11" s="1">
        <f t="shared" si="0"/>
        <v>340000</v>
      </c>
      <c r="Z11" s="1">
        <f t="shared" si="0"/>
        <v>340000</v>
      </c>
      <c r="AA11" s="1">
        <f t="shared" si="0"/>
        <v>340000</v>
      </c>
      <c r="AB11" s="1">
        <f t="shared" si="0"/>
        <v>340000</v>
      </c>
      <c r="AC11" s="1">
        <f t="shared" si="0"/>
        <v>340000</v>
      </c>
      <c r="AD11" s="1">
        <f t="shared" si="0"/>
        <v>340000</v>
      </c>
      <c r="AE11" s="1">
        <f t="shared" si="0"/>
        <v>340000</v>
      </c>
      <c r="AF11" s="1">
        <f t="shared" si="0"/>
        <v>340000</v>
      </c>
      <c r="AG11" s="1">
        <f t="shared" si="0"/>
        <v>340000</v>
      </c>
    </row>
    <row r="12" spans="1:33" x14ac:dyDescent="0.25">
      <c r="B12" s="1" t="s">
        <v>17</v>
      </c>
      <c r="E12" s="1">
        <v>50000</v>
      </c>
      <c r="F12" s="1" t="s">
        <v>5</v>
      </c>
      <c r="L12" s="1" t="s">
        <v>41</v>
      </c>
      <c r="AG12" s="1">
        <f>+M18</f>
        <v>0</v>
      </c>
    </row>
    <row r="13" spans="1:33" x14ac:dyDescent="0.25">
      <c r="L13" s="1" t="s">
        <v>47</v>
      </c>
      <c r="AG13" s="8">
        <f>-E12</f>
        <v>-50000</v>
      </c>
    </row>
    <row r="14" spans="1:33" x14ac:dyDescent="0.25">
      <c r="B14" s="1" t="s">
        <v>11</v>
      </c>
      <c r="E14" s="1">
        <v>40000</v>
      </c>
      <c r="F14" s="1" t="s">
        <v>12</v>
      </c>
    </row>
    <row r="15" spans="1:33" x14ac:dyDescent="0.25">
      <c r="K15" s="1" t="s">
        <v>42</v>
      </c>
    </row>
    <row r="16" spans="1:33" x14ac:dyDescent="0.25">
      <c r="B16" s="1" t="s">
        <v>31</v>
      </c>
      <c r="E16" s="4">
        <v>5.0000000000000001E-3</v>
      </c>
      <c r="F16" s="1" t="s">
        <v>19</v>
      </c>
      <c r="L16" s="1" t="s">
        <v>43</v>
      </c>
      <c r="M16" s="1">
        <f>+E8*E9</f>
        <v>3024000</v>
      </c>
    </row>
    <row r="17" spans="2:33" x14ac:dyDescent="0.25">
      <c r="L17" s="1" t="s">
        <v>44</v>
      </c>
      <c r="M17" s="1">
        <f>+E8*E10</f>
        <v>756000</v>
      </c>
      <c r="W17" s="1">
        <f>+M17</f>
        <v>756000</v>
      </c>
    </row>
    <row r="18" spans="2:33" x14ac:dyDescent="0.25">
      <c r="B18" s="1" t="s">
        <v>13</v>
      </c>
      <c r="E18" s="1">
        <f>2500*1700</f>
        <v>4250000</v>
      </c>
      <c r="F18" s="1" t="s">
        <v>14</v>
      </c>
      <c r="L18" s="1" t="s">
        <v>45</v>
      </c>
      <c r="M18" s="1">
        <v>0</v>
      </c>
    </row>
    <row r="19" spans="2:33" x14ac:dyDescent="0.25">
      <c r="B19" s="1" t="s">
        <v>15</v>
      </c>
      <c r="E19" s="1">
        <v>8</v>
      </c>
      <c r="F19" s="1" t="s">
        <v>16</v>
      </c>
    </row>
    <row r="20" spans="2:33" x14ac:dyDescent="0.25">
      <c r="L20" s="1" t="s">
        <v>46</v>
      </c>
      <c r="N20" s="1">
        <f>+E14</f>
        <v>40000</v>
      </c>
      <c r="O20" s="1">
        <f>+N20</f>
        <v>40000</v>
      </c>
      <c r="P20" s="1">
        <f t="shared" ref="P20:AG20" si="1">+O20</f>
        <v>40000</v>
      </c>
      <c r="Q20" s="1">
        <f t="shared" si="1"/>
        <v>40000</v>
      </c>
      <c r="R20" s="1">
        <f t="shared" si="1"/>
        <v>40000</v>
      </c>
      <c r="S20" s="1">
        <f t="shared" si="1"/>
        <v>40000</v>
      </c>
      <c r="T20" s="1">
        <f t="shared" si="1"/>
        <v>40000</v>
      </c>
      <c r="U20" s="1">
        <f t="shared" si="1"/>
        <v>40000</v>
      </c>
      <c r="V20" s="1">
        <f t="shared" si="1"/>
        <v>40000</v>
      </c>
      <c r="W20" s="1">
        <f t="shared" si="1"/>
        <v>40000</v>
      </c>
      <c r="X20" s="1">
        <f t="shared" si="1"/>
        <v>40000</v>
      </c>
      <c r="Y20" s="1">
        <f t="shared" si="1"/>
        <v>40000</v>
      </c>
      <c r="Z20" s="1">
        <f t="shared" si="1"/>
        <v>40000</v>
      </c>
      <c r="AA20" s="1">
        <f t="shared" si="1"/>
        <v>40000</v>
      </c>
      <c r="AB20" s="1">
        <f t="shared" si="1"/>
        <v>40000</v>
      </c>
      <c r="AC20" s="1">
        <f t="shared" si="1"/>
        <v>40000</v>
      </c>
      <c r="AD20" s="1">
        <f t="shared" si="1"/>
        <v>40000</v>
      </c>
      <c r="AE20" s="1">
        <f t="shared" si="1"/>
        <v>40000</v>
      </c>
      <c r="AF20" s="1">
        <f t="shared" si="1"/>
        <v>40000</v>
      </c>
      <c r="AG20" s="1">
        <f t="shared" si="1"/>
        <v>40000</v>
      </c>
    </row>
    <row r="21" spans="2:33" x14ac:dyDescent="0.25">
      <c r="B21" s="1" t="s">
        <v>20</v>
      </c>
      <c r="L21" s="1" t="s">
        <v>18</v>
      </c>
      <c r="M21" s="1">
        <f>+E16*E8</f>
        <v>18900</v>
      </c>
      <c r="N21" s="1">
        <f>+M21</f>
        <v>18900</v>
      </c>
      <c r="O21" s="1">
        <f t="shared" ref="O21:AF21" si="2">+N21</f>
        <v>18900</v>
      </c>
      <c r="P21" s="1">
        <f t="shared" si="2"/>
        <v>18900</v>
      </c>
      <c r="Q21" s="1">
        <f t="shared" si="2"/>
        <v>18900</v>
      </c>
      <c r="R21" s="1">
        <f t="shared" si="2"/>
        <v>18900</v>
      </c>
      <c r="S21" s="1">
        <f t="shared" si="2"/>
        <v>18900</v>
      </c>
      <c r="T21" s="1">
        <f t="shared" si="2"/>
        <v>18900</v>
      </c>
      <c r="U21" s="1">
        <f t="shared" si="2"/>
        <v>18900</v>
      </c>
      <c r="V21" s="1">
        <f t="shared" si="2"/>
        <v>18900</v>
      </c>
      <c r="W21" s="1">
        <f t="shared" si="2"/>
        <v>18900</v>
      </c>
      <c r="X21" s="1">
        <f t="shared" si="2"/>
        <v>18900</v>
      </c>
      <c r="Y21" s="1">
        <f t="shared" si="2"/>
        <v>18900</v>
      </c>
      <c r="Z21" s="1">
        <f t="shared" si="2"/>
        <v>18900</v>
      </c>
      <c r="AA21" s="1">
        <f t="shared" si="2"/>
        <v>18900</v>
      </c>
      <c r="AB21" s="1">
        <f t="shared" si="2"/>
        <v>18900</v>
      </c>
      <c r="AC21" s="1">
        <f t="shared" si="2"/>
        <v>18900</v>
      </c>
      <c r="AD21" s="1">
        <f t="shared" si="2"/>
        <v>18900</v>
      </c>
      <c r="AE21" s="1">
        <f t="shared" si="2"/>
        <v>18900</v>
      </c>
      <c r="AF21" s="1">
        <f t="shared" si="2"/>
        <v>18900</v>
      </c>
    </row>
    <row r="22" spans="2:33" x14ac:dyDescent="0.25">
      <c r="F22" s="1" t="s">
        <v>52</v>
      </c>
      <c r="G22" s="1">
        <f>-M23</f>
        <v>3798900</v>
      </c>
      <c r="H22" s="10">
        <v>1</v>
      </c>
    </row>
    <row r="23" spans="2:33" x14ac:dyDescent="0.25">
      <c r="B23" s="1" t="s">
        <v>21</v>
      </c>
      <c r="F23" s="1" t="s">
        <v>53</v>
      </c>
      <c r="G23" s="1">
        <v>50000</v>
      </c>
      <c r="H23" s="11">
        <f>+G23/G22</f>
        <v>1.3161704703993261E-2</v>
      </c>
      <c r="I23" s="13">
        <f>+D109</f>
        <v>1.4999999999999999E-2</v>
      </c>
      <c r="K23" s="1" t="s">
        <v>48</v>
      </c>
      <c r="M23" s="14">
        <f>+SUM(M11:M14)-SUM(M16:M22)</f>
        <v>-3798900</v>
      </c>
      <c r="N23" s="1">
        <f t="shared" ref="N23:AG23" si="3">+SUM(N11:N14)-SUM(N16:N22)</f>
        <v>281100</v>
      </c>
      <c r="O23" s="1">
        <f t="shared" si="3"/>
        <v>281100</v>
      </c>
      <c r="P23" s="1">
        <f t="shared" si="3"/>
        <v>281100</v>
      </c>
      <c r="Q23" s="1">
        <f t="shared" si="3"/>
        <v>281100</v>
      </c>
      <c r="R23" s="1">
        <f t="shared" si="3"/>
        <v>281100</v>
      </c>
      <c r="S23" s="1">
        <f t="shared" si="3"/>
        <v>281100</v>
      </c>
      <c r="T23" s="1">
        <f t="shared" si="3"/>
        <v>281100</v>
      </c>
      <c r="U23" s="1">
        <f t="shared" si="3"/>
        <v>281100</v>
      </c>
      <c r="V23" s="1">
        <f t="shared" si="3"/>
        <v>281100</v>
      </c>
      <c r="W23" s="9">
        <f t="shared" si="3"/>
        <v>-474900</v>
      </c>
      <c r="X23" s="1">
        <f t="shared" si="3"/>
        <v>281100</v>
      </c>
      <c r="Y23" s="1">
        <f t="shared" si="3"/>
        <v>281100</v>
      </c>
      <c r="Z23" s="1">
        <f t="shared" si="3"/>
        <v>281100</v>
      </c>
      <c r="AA23" s="1">
        <f t="shared" si="3"/>
        <v>281100</v>
      </c>
      <c r="AB23" s="1">
        <f t="shared" si="3"/>
        <v>281100</v>
      </c>
      <c r="AC23" s="1">
        <f t="shared" si="3"/>
        <v>281100</v>
      </c>
      <c r="AD23" s="1">
        <f t="shared" si="3"/>
        <v>281100</v>
      </c>
      <c r="AE23" s="1">
        <f t="shared" si="3"/>
        <v>281100</v>
      </c>
      <c r="AF23" s="1">
        <f t="shared" si="3"/>
        <v>281100</v>
      </c>
      <c r="AG23" s="9">
        <f t="shared" si="3"/>
        <v>250000</v>
      </c>
    </row>
    <row r="24" spans="2:33" x14ac:dyDescent="0.25">
      <c r="B24" s="1" t="s">
        <v>22</v>
      </c>
      <c r="D24" s="1">
        <v>16</v>
      </c>
      <c r="E24" s="1" t="s">
        <v>8</v>
      </c>
      <c r="F24" s="1" t="s">
        <v>54</v>
      </c>
      <c r="G24" s="1">
        <f>+G22-G23</f>
        <v>3748900</v>
      </c>
      <c r="H24" s="12">
        <f>+H22-H23</f>
        <v>0.98683829529600675</v>
      </c>
      <c r="I24" s="13">
        <f>+D25</f>
        <v>2.5000000000000001E-2</v>
      </c>
      <c r="L24" s="1" t="s">
        <v>49</v>
      </c>
      <c r="N24" s="15">
        <f>+NPV(+V25,N23:AG23)+M23</f>
        <v>43631.788897525053</v>
      </c>
      <c r="O24" s="1" t="s">
        <v>57</v>
      </c>
    </row>
    <row r="25" spans="2:33" x14ac:dyDescent="0.25">
      <c r="B25" s="1" t="s">
        <v>23</v>
      </c>
      <c r="D25" s="4">
        <v>2.5000000000000001E-2</v>
      </c>
      <c r="L25" s="1" t="s">
        <v>50</v>
      </c>
      <c r="N25" s="15">
        <f>-PMT(V25,20,N24)</f>
        <v>2747.3687536287957</v>
      </c>
      <c r="O25" s="1" t="s">
        <v>58</v>
      </c>
      <c r="S25" s="1" t="s">
        <v>67</v>
      </c>
      <c r="V25" s="19">
        <v>2.3042725995653376E-2</v>
      </c>
    </row>
    <row r="26" spans="2:33" x14ac:dyDescent="0.25">
      <c r="G26" s="1" t="s">
        <v>55</v>
      </c>
      <c r="H26" s="13">
        <f>+H23*I23+H24*I24</f>
        <v>2.486838295296007E-2</v>
      </c>
      <c r="I26" s="1" t="s">
        <v>56</v>
      </c>
      <c r="L26" s="1" t="s">
        <v>51</v>
      </c>
      <c r="N26" s="13">
        <f>+IRR(M23:AG23)</f>
        <v>2.4256607795476448E-2</v>
      </c>
      <c r="O26" s="1" t="s">
        <v>59</v>
      </c>
      <c r="S26" s="1" t="s">
        <v>68</v>
      </c>
      <c r="V26" s="15">
        <f>+N38-N24</f>
        <v>-2.7648638933897018E-9</v>
      </c>
    </row>
    <row r="27" spans="2:33" x14ac:dyDescent="0.25">
      <c r="H27" s="13"/>
      <c r="N27" s="13"/>
    </row>
    <row r="28" spans="2:33" x14ac:dyDescent="0.25">
      <c r="H28" s="13"/>
      <c r="L28" s="16" t="s">
        <v>60</v>
      </c>
      <c r="M28" s="16"/>
      <c r="N28" s="17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2:33" x14ac:dyDescent="0.25">
      <c r="H29" s="13"/>
      <c r="L29" s="16"/>
      <c r="M29" s="16"/>
      <c r="N29" s="17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2:33" x14ac:dyDescent="0.25">
      <c r="H30" s="13"/>
      <c r="L30" s="16" t="s">
        <v>61</v>
      </c>
      <c r="M30" s="16">
        <f>+G24</f>
        <v>3748900</v>
      </c>
      <c r="N30" s="18">
        <f>+M30-N31</f>
        <v>3555460.551615024</v>
      </c>
      <c r="O30" s="18">
        <f>+N30-O31</f>
        <v>3357185.1170204235</v>
      </c>
      <c r="P30" s="18">
        <f t="shared" ref="P30:AB30" si="4">+O30-P31</f>
        <v>3153952.796560958</v>
      </c>
      <c r="Q30" s="18">
        <f t="shared" si="4"/>
        <v>2945639.6680900059</v>
      </c>
      <c r="R30" s="18">
        <f t="shared" si="4"/>
        <v>2732118.7114072801</v>
      </c>
      <c r="S30" s="18">
        <f t="shared" si="4"/>
        <v>2513259.730807486</v>
      </c>
      <c r="T30" s="18">
        <f t="shared" si="4"/>
        <v>2288929.2756926971</v>
      </c>
      <c r="U30" s="18">
        <f t="shared" si="4"/>
        <v>2058990.5592000387</v>
      </c>
      <c r="V30" s="18">
        <f t="shared" si="4"/>
        <v>1823303.3747950636</v>
      </c>
      <c r="W30" s="18">
        <f t="shared" si="4"/>
        <v>1581724.0107799643</v>
      </c>
      <c r="X30" s="18">
        <f t="shared" si="4"/>
        <v>1334105.1626644875</v>
      </c>
      <c r="Y30" s="18">
        <f t="shared" si="4"/>
        <v>1080295.8433461238</v>
      </c>
      <c r="Z30" s="18">
        <f t="shared" si="4"/>
        <v>820141.29104480101</v>
      </c>
      <c r="AA30" s="18">
        <f t="shared" si="4"/>
        <v>553482.87493594503</v>
      </c>
      <c r="AB30" s="18">
        <f t="shared" si="4"/>
        <v>280157.99842436769</v>
      </c>
      <c r="AC30" s="18">
        <f>+AB30-AC31</f>
        <v>9.3132257461547852E-10</v>
      </c>
    </row>
    <row r="31" spans="2:33" x14ac:dyDescent="0.25">
      <c r="H31" s="13"/>
      <c r="L31" s="16" t="s">
        <v>62</v>
      </c>
      <c r="M31" s="16"/>
      <c r="N31" s="18">
        <f>+N34-N32</f>
        <v>193439.44838497596</v>
      </c>
      <c r="O31" s="18">
        <f>+O34-O32</f>
        <v>198275.43459460035</v>
      </c>
      <c r="P31" s="18">
        <f t="shared" ref="P31:AC31" si="5">+P34-P32</f>
        <v>203232.32045946538</v>
      </c>
      <c r="Q31" s="18">
        <f t="shared" si="5"/>
        <v>208313.12847095198</v>
      </c>
      <c r="R31" s="18">
        <f t="shared" si="5"/>
        <v>213520.95668272581</v>
      </c>
      <c r="S31" s="18">
        <f t="shared" si="5"/>
        <v>218858.98059979395</v>
      </c>
      <c r="T31" s="18">
        <f t="shared" si="5"/>
        <v>224330.45511478881</v>
      </c>
      <c r="U31" s="18">
        <f t="shared" si="5"/>
        <v>229938.71649265854</v>
      </c>
      <c r="V31" s="18">
        <f t="shared" si="5"/>
        <v>235687.18440497498</v>
      </c>
      <c r="W31" s="18">
        <f t="shared" si="5"/>
        <v>241579.36401509936</v>
      </c>
      <c r="X31" s="18">
        <f t="shared" si="5"/>
        <v>247618.84811547684</v>
      </c>
      <c r="Y31" s="18">
        <f t="shared" si="5"/>
        <v>253809.31931836376</v>
      </c>
      <c r="Z31" s="18">
        <f t="shared" si="5"/>
        <v>260154.55230132287</v>
      </c>
      <c r="AA31" s="18">
        <f t="shared" si="5"/>
        <v>266658.41610885592</v>
      </c>
      <c r="AB31" s="18">
        <f t="shared" si="5"/>
        <v>273324.87651157734</v>
      </c>
      <c r="AC31" s="18">
        <f t="shared" si="5"/>
        <v>280157.99842436676</v>
      </c>
    </row>
    <row r="32" spans="2:33" x14ac:dyDescent="0.25">
      <c r="H32" s="13"/>
      <c r="L32" s="16" t="s">
        <v>23</v>
      </c>
      <c r="M32" s="16"/>
      <c r="N32" s="18">
        <f>+M30*$D$25</f>
        <v>93722.5</v>
      </c>
      <c r="O32" s="18">
        <f>+N30*$D$25</f>
        <v>88886.513790375611</v>
      </c>
      <c r="P32" s="18">
        <f t="shared" ref="P32:AC32" si="6">+O30*$D$25</f>
        <v>83929.627925510591</v>
      </c>
      <c r="Q32" s="18">
        <f t="shared" si="6"/>
        <v>78848.819914023959</v>
      </c>
      <c r="R32" s="18">
        <f t="shared" si="6"/>
        <v>73640.991702250147</v>
      </c>
      <c r="S32" s="18">
        <f t="shared" si="6"/>
        <v>68302.967785182002</v>
      </c>
      <c r="T32" s="18">
        <f t="shared" si="6"/>
        <v>62831.493270187151</v>
      </c>
      <c r="U32" s="18">
        <f t="shared" si="6"/>
        <v>57223.231892317432</v>
      </c>
      <c r="V32" s="18">
        <f t="shared" si="6"/>
        <v>51474.763980000971</v>
      </c>
      <c r="W32" s="18">
        <f t="shared" si="6"/>
        <v>45582.584369876597</v>
      </c>
      <c r="X32" s="18">
        <f t="shared" si="6"/>
        <v>39543.100269499111</v>
      </c>
      <c r="Y32" s="18">
        <f t="shared" si="6"/>
        <v>33352.629066612186</v>
      </c>
      <c r="Z32" s="18">
        <f t="shared" si="6"/>
        <v>27007.396083653097</v>
      </c>
      <c r="AA32" s="18">
        <f t="shared" si="6"/>
        <v>20503.532276120026</v>
      </c>
      <c r="AB32" s="18">
        <f t="shared" si="6"/>
        <v>13837.071873398627</v>
      </c>
      <c r="AC32" s="18">
        <f t="shared" si="6"/>
        <v>7003.9499606091922</v>
      </c>
    </row>
    <row r="33" spans="1:33" x14ac:dyDescent="0.25">
      <c r="H33" s="13"/>
      <c r="N33" s="13"/>
    </row>
    <row r="34" spans="1:33" x14ac:dyDescent="0.25">
      <c r="H34" s="13"/>
      <c r="L34" s="1" t="s">
        <v>63</v>
      </c>
      <c r="M34" s="1">
        <f>-M30</f>
        <v>-3748900</v>
      </c>
      <c r="N34" s="15">
        <f>-PMT(D25,D24,M30)</f>
        <v>287161.94838497596</v>
      </c>
      <c r="O34" s="15">
        <f>+N34</f>
        <v>287161.94838497596</v>
      </c>
      <c r="P34" s="15">
        <f t="shared" ref="P34:AC34" si="7">+O34</f>
        <v>287161.94838497596</v>
      </c>
      <c r="Q34" s="15">
        <f t="shared" si="7"/>
        <v>287161.94838497596</v>
      </c>
      <c r="R34" s="15">
        <f t="shared" si="7"/>
        <v>287161.94838497596</v>
      </c>
      <c r="S34" s="15">
        <f t="shared" si="7"/>
        <v>287161.94838497596</v>
      </c>
      <c r="T34" s="15">
        <f t="shared" si="7"/>
        <v>287161.94838497596</v>
      </c>
      <c r="U34" s="15">
        <f t="shared" si="7"/>
        <v>287161.94838497596</v>
      </c>
      <c r="V34" s="15">
        <f t="shared" si="7"/>
        <v>287161.94838497596</v>
      </c>
      <c r="W34" s="15">
        <f t="shared" si="7"/>
        <v>287161.94838497596</v>
      </c>
      <c r="X34" s="15">
        <f t="shared" si="7"/>
        <v>287161.94838497596</v>
      </c>
      <c r="Y34" s="15">
        <f t="shared" si="7"/>
        <v>287161.94838497596</v>
      </c>
      <c r="Z34" s="15">
        <f t="shared" si="7"/>
        <v>287161.94838497596</v>
      </c>
      <c r="AA34" s="15">
        <f t="shared" si="7"/>
        <v>287161.94838497596</v>
      </c>
      <c r="AB34" s="15">
        <f t="shared" si="7"/>
        <v>287161.94838497596</v>
      </c>
      <c r="AC34" s="15">
        <f t="shared" si="7"/>
        <v>287161.94838497596</v>
      </c>
    </row>
    <row r="35" spans="1:33" x14ac:dyDescent="0.25">
      <c r="H35" s="13"/>
      <c r="N35" s="13"/>
    </row>
    <row r="36" spans="1:33" x14ac:dyDescent="0.25">
      <c r="H36" s="13"/>
      <c r="K36" s="1" t="s">
        <v>64</v>
      </c>
      <c r="M36" s="15">
        <f>+M23-M34</f>
        <v>-50000</v>
      </c>
      <c r="N36" s="15">
        <f>+N23-N34</f>
        <v>-6061.9483849759563</v>
      </c>
      <c r="O36" s="15">
        <f t="shared" ref="O36:AG36" si="8">+O23-O34</f>
        <v>-6061.9483849759563</v>
      </c>
      <c r="P36" s="15">
        <f t="shared" si="8"/>
        <v>-6061.9483849759563</v>
      </c>
      <c r="Q36" s="15">
        <f t="shared" si="8"/>
        <v>-6061.9483849759563</v>
      </c>
      <c r="R36" s="15">
        <f t="shared" si="8"/>
        <v>-6061.9483849759563</v>
      </c>
      <c r="S36" s="15">
        <f t="shared" si="8"/>
        <v>-6061.9483849759563</v>
      </c>
      <c r="T36" s="15">
        <f t="shared" si="8"/>
        <v>-6061.9483849759563</v>
      </c>
      <c r="U36" s="15">
        <f t="shared" si="8"/>
        <v>-6061.9483849759563</v>
      </c>
      <c r="V36" s="15">
        <f t="shared" si="8"/>
        <v>-6061.9483849759563</v>
      </c>
      <c r="W36" s="15">
        <f t="shared" si="8"/>
        <v>-762061.94838497601</v>
      </c>
      <c r="X36" s="15">
        <f t="shared" si="8"/>
        <v>-6061.9483849759563</v>
      </c>
      <c r="Y36" s="15">
        <f t="shared" si="8"/>
        <v>-6061.9483849759563</v>
      </c>
      <c r="Z36" s="15">
        <f t="shared" si="8"/>
        <v>-6061.9483849759563</v>
      </c>
      <c r="AA36" s="15">
        <f t="shared" si="8"/>
        <v>-6061.9483849759563</v>
      </c>
      <c r="AB36" s="15">
        <f t="shared" si="8"/>
        <v>-6061.9483849759563</v>
      </c>
      <c r="AC36" s="15">
        <f t="shared" si="8"/>
        <v>-6061.9483849759563</v>
      </c>
      <c r="AD36" s="15">
        <f t="shared" si="8"/>
        <v>281100</v>
      </c>
      <c r="AE36" s="15">
        <f t="shared" si="8"/>
        <v>281100</v>
      </c>
      <c r="AF36" s="15">
        <f t="shared" si="8"/>
        <v>281100</v>
      </c>
      <c r="AG36" s="15">
        <f t="shared" si="8"/>
        <v>250000</v>
      </c>
    </row>
    <row r="37" spans="1:33" x14ac:dyDescent="0.25">
      <c r="H37" s="13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H38" s="13"/>
      <c r="L38" s="1" t="s">
        <v>49</v>
      </c>
      <c r="M38" s="15"/>
      <c r="N38" s="15">
        <f>+NPV(+D109,N36:AG36)+M36</f>
        <v>43631.788897522289</v>
      </c>
      <c r="O38" s="15" t="s">
        <v>69</v>
      </c>
      <c r="P38" s="15" t="s">
        <v>70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H39" s="13"/>
      <c r="L39" s="1" t="s">
        <v>65</v>
      </c>
      <c r="N39" s="15">
        <f>-PMT(D109,20,N38)</f>
        <v>2541.3656518555545</v>
      </c>
      <c r="O39" s="15" t="s">
        <v>69</v>
      </c>
      <c r="P39" s="15" t="s">
        <v>70</v>
      </c>
    </row>
    <row r="40" spans="1:33" x14ac:dyDescent="0.25">
      <c r="H40" s="13"/>
      <c r="L40" s="1" t="s">
        <v>66</v>
      </c>
      <c r="N40" s="13">
        <f>+IRR(M36:AG36)</f>
        <v>2.0909953903163414E-2</v>
      </c>
      <c r="O40" s="1" t="s">
        <v>71</v>
      </c>
      <c r="P40" s="15" t="s">
        <v>70</v>
      </c>
    </row>
    <row r="42" spans="1:33" x14ac:dyDescent="0.25">
      <c r="A42" s="2" t="s">
        <v>24</v>
      </c>
      <c r="B42" s="2" t="s">
        <v>25</v>
      </c>
      <c r="K42" s="2" t="s">
        <v>24</v>
      </c>
      <c r="L42" s="2" t="s">
        <v>25</v>
      </c>
    </row>
    <row r="44" spans="1:33" x14ac:dyDescent="0.25">
      <c r="B44" s="1" t="s">
        <v>3</v>
      </c>
      <c r="E44" s="1">
        <f>60*1050</f>
        <v>63000</v>
      </c>
      <c r="F44" s="1" t="s">
        <v>5</v>
      </c>
      <c r="K44" s="1" t="s">
        <v>38</v>
      </c>
      <c r="M44" s="1">
        <v>0</v>
      </c>
      <c r="N44" s="1">
        <v>1</v>
      </c>
      <c r="O44" s="1">
        <v>2</v>
      </c>
      <c r="P44" s="1">
        <v>3</v>
      </c>
      <c r="Q44" s="1">
        <v>4</v>
      </c>
      <c r="R44" s="1">
        <v>5</v>
      </c>
      <c r="S44" s="1">
        <v>6</v>
      </c>
      <c r="T44" s="1">
        <v>7</v>
      </c>
      <c r="U44" s="1">
        <v>8</v>
      </c>
      <c r="V44" s="1">
        <v>9</v>
      </c>
      <c r="W44" s="1">
        <v>10</v>
      </c>
      <c r="X44" s="1">
        <v>11</v>
      </c>
      <c r="Y44" s="1">
        <v>12</v>
      </c>
      <c r="Z44" s="1">
        <v>13</v>
      </c>
      <c r="AA44" s="1">
        <v>14</v>
      </c>
      <c r="AB44" s="1">
        <v>15</v>
      </c>
      <c r="AC44" s="1">
        <v>16</v>
      </c>
      <c r="AD44" s="1">
        <v>17</v>
      </c>
      <c r="AE44" s="1">
        <v>18</v>
      </c>
      <c r="AF44" s="1">
        <v>19</v>
      </c>
      <c r="AG44" s="1">
        <v>20</v>
      </c>
    </row>
    <row r="45" spans="1:33" x14ac:dyDescent="0.25">
      <c r="C45" s="1" t="s">
        <v>6</v>
      </c>
      <c r="E45" s="3">
        <v>0.7</v>
      </c>
      <c r="G45" s="1" t="s">
        <v>7</v>
      </c>
      <c r="H45" s="1">
        <v>20</v>
      </c>
      <c r="I45" s="1" t="s">
        <v>8</v>
      </c>
    </row>
    <row r="46" spans="1:33" x14ac:dyDescent="0.25">
      <c r="C46" s="1" t="s">
        <v>9</v>
      </c>
      <c r="E46" s="3">
        <v>0.2</v>
      </c>
      <c r="G46" s="1" t="s">
        <v>7</v>
      </c>
      <c r="H46" s="1">
        <v>10</v>
      </c>
      <c r="I46" s="1" t="s">
        <v>8</v>
      </c>
      <c r="K46" s="1" t="s">
        <v>39</v>
      </c>
    </row>
    <row r="47" spans="1:33" x14ac:dyDescent="0.25">
      <c r="C47" s="1" t="s">
        <v>10</v>
      </c>
      <c r="E47" s="3">
        <v>0.1</v>
      </c>
      <c r="G47" s="1" t="s">
        <v>7</v>
      </c>
      <c r="H47" s="1">
        <v>5</v>
      </c>
      <c r="I47" s="1" t="s">
        <v>8</v>
      </c>
      <c r="L47" s="1" t="s">
        <v>72</v>
      </c>
      <c r="N47" s="1">
        <f>+E53*E54/100</f>
        <v>9520</v>
      </c>
      <c r="O47" s="1">
        <f>+N47</f>
        <v>9520</v>
      </c>
      <c r="P47" s="1">
        <f t="shared" ref="P47:AG47" si="9">+O47</f>
        <v>9520</v>
      </c>
      <c r="Q47" s="1">
        <f t="shared" si="9"/>
        <v>9520</v>
      </c>
      <c r="R47" s="1">
        <f t="shared" si="9"/>
        <v>9520</v>
      </c>
      <c r="S47" s="1">
        <f t="shared" si="9"/>
        <v>9520</v>
      </c>
      <c r="T47" s="1">
        <f t="shared" si="9"/>
        <v>9520</v>
      </c>
      <c r="U47" s="1">
        <f t="shared" si="9"/>
        <v>9520</v>
      </c>
      <c r="V47" s="1">
        <f t="shared" si="9"/>
        <v>9520</v>
      </c>
      <c r="W47" s="1">
        <f t="shared" si="9"/>
        <v>9520</v>
      </c>
      <c r="X47" s="1">
        <f t="shared" si="9"/>
        <v>9520</v>
      </c>
      <c r="Y47" s="1">
        <f t="shared" si="9"/>
        <v>9520</v>
      </c>
      <c r="Z47" s="1">
        <f t="shared" si="9"/>
        <v>9520</v>
      </c>
      <c r="AA47" s="1">
        <f t="shared" si="9"/>
        <v>9520</v>
      </c>
      <c r="AB47" s="1">
        <f t="shared" si="9"/>
        <v>9520</v>
      </c>
      <c r="AC47" s="1">
        <f t="shared" si="9"/>
        <v>9520</v>
      </c>
      <c r="AD47" s="1">
        <f t="shared" si="9"/>
        <v>9520</v>
      </c>
      <c r="AE47" s="1">
        <f t="shared" si="9"/>
        <v>9520</v>
      </c>
      <c r="AF47" s="1">
        <f t="shared" si="9"/>
        <v>9520</v>
      </c>
      <c r="AG47" s="1">
        <f t="shared" si="9"/>
        <v>9520</v>
      </c>
    </row>
    <row r="48" spans="1:33" x14ac:dyDescent="0.25">
      <c r="L48" s="1" t="s">
        <v>73</v>
      </c>
      <c r="AG48" s="1">
        <v>0</v>
      </c>
    </row>
    <row r="49" spans="2:33" x14ac:dyDescent="0.25">
      <c r="B49" s="1" t="s">
        <v>11</v>
      </c>
      <c r="E49" s="1">
        <v>2500</v>
      </c>
      <c r="F49" s="1" t="s">
        <v>12</v>
      </c>
      <c r="L49" s="1" t="s">
        <v>74</v>
      </c>
      <c r="AG49" s="1">
        <v>0</v>
      </c>
    </row>
    <row r="51" spans="2:33" x14ac:dyDescent="0.25">
      <c r="B51" s="1" t="s">
        <v>31</v>
      </c>
      <c r="E51" s="4">
        <v>1.4999999999999999E-2</v>
      </c>
      <c r="F51" s="1" t="s">
        <v>19</v>
      </c>
      <c r="K51" s="1" t="s">
        <v>42</v>
      </c>
    </row>
    <row r="52" spans="2:33" x14ac:dyDescent="0.25">
      <c r="L52" s="1" t="s">
        <v>75</v>
      </c>
      <c r="M52" s="1">
        <f>+E45*E44</f>
        <v>44100</v>
      </c>
    </row>
    <row r="53" spans="2:33" x14ac:dyDescent="0.25">
      <c r="B53" s="1" t="s">
        <v>13</v>
      </c>
      <c r="E53" s="1">
        <v>68000</v>
      </c>
      <c r="F53" s="1" t="s">
        <v>14</v>
      </c>
      <c r="L53" s="1" t="s">
        <v>76</v>
      </c>
      <c r="M53" s="1">
        <f>+E46*$E$44</f>
        <v>12600</v>
      </c>
      <c r="W53" s="1">
        <f>+M53</f>
        <v>12600</v>
      </c>
    </row>
    <row r="54" spans="2:33" x14ac:dyDescent="0.25">
      <c r="B54" s="1" t="s">
        <v>32</v>
      </c>
      <c r="E54" s="1">
        <v>14</v>
      </c>
      <c r="F54" s="1" t="s">
        <v>16</v>
      </c>
      <c r="L54" s="1" t="s">
        <v>77</v>
      </c>
      <c r="M54" s="1">
        <f>+E47*$E$44</f>
        <v>6300</v>
      </c>
      <c r="R54" s="1">
        <f>+M54</f>
        <v>6300</v>
      </c>
      <c r="W54" s="1">
        <f>+R54</f>
        <v>6300</v>
      </c>
      <c r="AB54" s="1">
        <f>+W54</f>
        <v>6300</v>
      </c>
    </row>
    <row r="55" spans="2:33" x14ac:dyDescent="0.25">
      <c r="L55" s="1" t="s">
        <v>45</v>
      </c>
      <c r="M55" s="1">
        <v>0</v>
      </c>
    </row>
    <row r="56" spans="2:33" x14ac:dyDescent="0.25">
      <c r="B56" s="1" t="s">
        <v>20</v>
      </c>
    </row>
    <row r="57" spans="2:33" x14ac:dyDescent="0.25">
      <c r="L57" s="1" t="s">
        <v>46</v>
      </c>
      <c r="N57" s="1">
        <f>+E49</f>
        <v>2500</v>
      </c>
      <c r="O57" s="1">
        <f>+N57</f>
        <v>2500</v>
      </c>
      <c r="P57" s="1">
        <f t="shared" ref="P57:AG58" si="10">+O57</f>
        <v>2500</v>
      </c>
      <c r="Q57" s="1">
        <f t="shared" si="10"/>
        <v>2500</v>
      </c>
      <c r="R57" s="1">
        <f t="shared" si="10"/>
        <v>2500</v>
      </c>
      <c r="S57" s="1">
        <f t="shared" si="10"/>
        <v>2500</v>
      </c>
      <c r="T57" s="1">
        <f t="shared" si="10"/>
        <v>2500</v>
      </c>
      <c r="U57" s="1">
        <f t="shared" si="10"/>
        <v>2500</v>
      </c>
      <c r="V57" s="1">
        <f t="shared" si="10"/>
        <v>2500</v>
      </c>
      <c r="W57" s="1">
        <f t="shared" si="10"/>
        <v>2500</v>
      </c>
      <c r="X57" s="1">
        <f t="shared" si="10"/>
        <v>2500</v>
      </c>
      <c r="Y57" s="1">
        <f t="shared" si="10"/>
        <v>2500</v>
      </c>
      <c r="Z57" s="1">
        <f t="shared" si="10"/>
        <v>2500</v>
      </c>
      <c r="AA57" s="1">
        <f t="shared" si="10"/>
        <v>2500</v>
      </c>
      <c r="AB57" s="1">
        <f t="shared" si="10"/>
        <v>2500</v>
      </c>
      <c r="AC57" s="1">
        <f t="shared" si="10"/>
        <v>2500</v>
      </c>
      <c r="AD57" s="1">
        <f t="shared" si="10"/>
        <v>2500</v>
      </c>
      <c r="AE57" s="1">
        <f t="shared" si="10"/>
        <v>2500</v>
      </c>
      <c r="AF57" s="1">
        <f t="shared" si="10"/>
        <v>2500</v>
      </c>
      <c r="AG57" s="1">
        <f t="shared" si="10"/>
        <v>2500</v>
      </c>
    </row>
    <row r="58" spans="2:33" x14ac:dyDescent="0.25">
      <c r="B58" s="1" t="s">
        <v>21</v>
      </c>
      <c r="L58" s="1" t="s">
        <v>18</v>
      </c>
      <c r="M58" s="1">
        <f>+E51*E44</f>
        <v>945</v>
      </c>
      <c r="N58" s="1">
        <f>+M58</f>
        <v>945</v>
      </c>
      <c r="O58" s="1">
        <f>+N58</f>
        <v>945</v>
      </c>
      <c r="P58" s="1">
        <f t="shared" si="10"/>
        <v>945</v>
      </c>
      <c r="Q58" s="1">
        <f t="shared" si="10"/>
        <v>945</v>
      </c>
      <c r="R58" s="1">
        <f t="shared" si="10"/>
        <v>945</v>
      </c>
      <c r="S58" s="1">
        <f t="shared" si="10"/>
        <v>945</v>
      </c>
      <c r="T58" s="1">
        <f t="shared" si="10"/>
        <v>945</v>
      </c>
      <c r="U58" s="1">
        <f t="shared" si="10"/>
        <v>945</v>
      </c>
      <c r="V58" s="1">
        <f t="shared" si="10"/>
        <v>945</v>
      </c>
      <c r="W58" s="1">
        <f t="shared" si="10"/>
        <v>945</v>
      </c>
      <c r="X58" s="1">
        <f t="shared" si="10"/>
        <v>945</v>
      </c>
      <c r="Y58" s="1">
        <f t="shared" si="10"/>
        <v>945</v>
      </c>
      <c r="Z58" s="1">
        <f t="shared" si="10"/>
        <v>945</v>
      </c>
      <c r="AA58" s="1">
        <f t="shared" si="10"/>
        <v>945</v>
      </c>
      <c r="AB58" s="1">
        <f t="shared" si="10"/>
        <v>945</v>
      </c>
      <c r="AC58" s="1">
        <f t="shared" si="10"/>
        <v>945</v>
      </c>
      <c r="AD58" s="1">
        <f t="shared" si="10"/>
        <v>945</v>
      </c>
      <c r="AE58" s="1">
        <f t="shared" si="10"/>
        <v>945</v>
      </c>
      <c r="AF58" s="1">
        <f t="shared" si="10"/>
        <v>945</v>
      </c>
    </row>
    <row r="59" spans="2:33" x14ac:dyDescent="0.25">
      <c r="B59" s="1" t="s">
        <v>22</v>
      </c>
      <c r="D59" s="1">
        <v>16</v>
      </c>
      <c r="E59" s="1" t="s">
        <v>8</v>
      </c>
    </row>
    <row r="60" spans="2:33" x14ac:dyDescent="0.25">
      <c r="B60" s="1" t="s">
        <v>23</v>
      </c>
      <c r="D60" s="4">
        <v>2.5000000000000001E-2</v>
      </c>
      <c r="K60" s="1" t="s">
        <v>48</v>
      </c>
      <c r="M60" s="1">
        <f>+SUM(M47:M50)-SUM(M52:M59)</f>
        <v>-63945</v>
      </c>
      <c r="N60" s="1">
        <f t="shared" ref="N60:AG60" si="11">+SUM(N47:N50)-SUM(N52:N59)</f>
        <v>6075</v>
      </c>
      <c r="O60" s="1">
        <f t="shared" si="11"/>
        <v>6075</v>
      </c>
      <c r="P60" s="1">
        <f t="shared" si="11"/>
        <v>6075</v>
      </c>
      <c r="Q60" s="1">
        <f t="shared" si="11"/>
        <v>6075</v>
      </c>
      <c r="R60" s="1">
        <f t="shared" si="11"/>
        <v>-225</v>
      </c>
      <c r="S60" s="1">
        <f t="shared" si="11"/>
        <v>6075</v>
      </c>
      <c r="T60" s="1">
        <f t="shared" si="11"/>
        <v>6075</v>
      </c>
      <c r="U60" s="1">
        <f t="shared" si="11"/>
        <v>6075</v>
      </c>
      <c r="V60" s="1">
        <f t="shared" si="11"/>
        <v>6075</v>
      </c>
      <c r="W60" s="1">
        <f t="shared" si="11"/>
        <v>-12825</v>
      </c>
      <c r="X60" s="1">
        <f t="shared" si="11"/>
        <v>6075</v>
      </c>
      <c r="Y60" s="1">
        <f t="shared" si="11"/>
        <v>6075</v>
      </c>
      <c r="Z60" s="1">
        <f t="shared" si="11"/>
        <v>6075</v>
      </c>
      <c r="AA60" s="1">
        <f t="shared" si="11"/>
        <v>6075</v>
      </c>
      <c r="AB60" s="1">
        <f t="shared" si="11"/>
        <v>-225</v>
      </c>
      <c r="AC60" s="1">
        <f t="shared" si="11"/>
        <v>6075</v>
      </c>
      <c r="AD60" s="1">
        <f t="shared" si="11"/>
        <v>6075</v>
      </c>
      <c r="AE60" s="1">
        <f t="shared" si="11"/>
        <v>6075</v>
      </c>
      <c r="AF60" s="1">
        <f t="shared" si="11"/>
        <v>6075</v>
      </c>
      <c r="AG60" s="1">
        <f t="shared" si="11"/>
        <v>7020</v>
      </c>
    </row>
    <row r="61" spans="2:33" x14ac:dyDescent="0.25">
      <c r="D61" s="4"/>
    </row>
    <row r="62" spans="2:33" x14ac:dyDescent="0.25">
      <c r="D62" s="4"/>
      <c r="F62" s="1" t="s">
        <v>82</v>
      </c>
      <c r="G62" s="1" t="s">
        <v>83</v>
      </c>
      <c r="L62" s="1" t="s">
        <v>49</v>
      </c>
      <c r="N62" s="15">
        <f>+NPV(R64,N60:AG60)+M60</f>
        <v>12733.866712870324</v>
      </c>
    </row>
    <row r="63" spans="2:33" x14ac:dyDescent="0.25">
      <c r="B63" s="1" t="s">
        <v>81</v>
      </c>
      <c r="D63" s="4" t="s">
        <v>52</v>
      </c>
      <c r="E63" s="1">
        <f>-M60</f>
        <v>63945</v>
      </c>
      <c r="F63" s="10">
        <v>1</v>
      </c>
      <c r="G63" s="13">
        <f>+F64*G64+F65*G65</f>
        <v>1.7180780358120259E-2</v>
      </c>
      <c r="H63" s="1" t="s">
        <v>84</v>
      </c>
      <c r="L63" s="1" t="s">
        <v>65</v>
      </c>
      <c r="N63" s="15">
        <f>-PMT(R64,20,N62)</f>
        <v>752.66108272062729</v>
      </c>
      <c r="P63" s="1" t="s">
        <v>87</v>
      </c>
      <c r="R63" s="15">
        <f>+N62-N72</f>
        <v>-1.8280843505635858E-7</v>
      </c>
      <c r="T63" s="1">
        <f>3800000/63000</f>
        <v>60.317460317460316</v>
      </c>
      <c r="U63" s="1" t="s">
        <v>85</v>
      </c>
    </row>
    <row r="64" spans="2:33" x14ac:dyDescent="0.25">
      <c r="D64" s="4" t="s">
        <v>53</v>
      </c>
      <c r="E64" s="1">
        <v>50000</v>
      </c>
      <c r="F64" s="20">
        <f>+E64/$E$63</f>
        <v>0.78192196418797399</v>
      </c>
      <c r="G64" s="13">
        <f>+D109</f>
        <v>1.4999999999999999E-2</v>
      </c>
      <c r="L64" s="1" t="s">
        <v>51</v>
      </c>
      <c r="N64" s="13">
        <f>+IRR(M60:AG60)</f>
        <v>3.570398990936785E-2</v>
      </c>
      <c r="P64" s="1" t="s">
        <v>88</v>
      </c>
      <c r="R64" s="13">
        <v>1.6493804048884484E-2</v>
      </c>
      <c r="T64" s="21">
        <f>+T63*N63</f>
        <v>45398.604989498155</v>
      </c>
      <c r="U64" s="1" t="s">
        <v>86</v>
      </c>
    </row>
    <row r="65" spans="1:33" x14ac:dyDescent="0.25">
      <c r="D65" s="4" t="s">
        <v>54</v>
      </c>
      <c r="E65" s="1">
        <f>+E63-E64</f>
        <v>13945</v>
      </c>
      <c r="F65" s="20">
        <f>+E65/$E$63</f>
        <v>0.21807803581202595</v>
      </c>
      <c r="G65" s="13">
        <f>+D60</f>
        <v>2.5000000000000001E-2</v>
      </c>
    </row>
    <row r="66" spans="1:33" x14ac:dyDescent="0.25">
      <c r="D66" s="4"/>
      <c r="L66" s="1" t="s">
        <v>78</v>
      </c>
    </row>
    <row r="67" spans="1:33" x14ac:dyDescent="0.25">
      <c r="D67" s="4"/>
    </row>
    <row r="68" spans="1:33" x14ac:dyDescent="0.25">
      <c r="D68" s="4"/>
      <c r="L68" s="1" t="s">
        <v>79</v>
      </c>
      <c r="M68" s="1">
        <f>-E65</f>
        <v>-13945</v>
      </c>
      <c r="N68" s="15">
        <f>+PMT(G65,D59,M68)</f>
        <v>1068.1728961104566</v>
      </c>
      <c r="O68" s="15">
        <f>+N68</f>
        <v>1068.1728961104566</v>
      </c>
      <c r="P68" s="15">
        <f t="shared" ref="P68:AC68" si="12">+O68</f>
        <v>1068.1728961104566</v>
      </c>
      <c r="Q68" s="15">
        <f t="shared" si="12"/>
        <v>1068.1728961104566</v>
      </c>
      <c r="R68" s="15">
        <f t="shared" si="12"/>
        <v>1068.1728961104566</v>
      </c>
      <c r="S68" s="15">
        <f t="shared" si="12"/>
        <v>1068.1728961104566</v>
      </c>
      <c r="T68" s="15">
        <f t="shared" si="12"/>
        <v>1068.1728961104566</v>
      </c>
      <c r="U68" s="15">
        <f t="shared" si="12"/>
        <v>1068.1728961104566</v>
      </c>
      <c r="V68" s="15">
        <f t="shared" si="12"/>
        <v>1068.1728961104566</v>
      </c>
      <c r="W68" s="15">
        <f t="shared" si="12"/>
        <v>1068.1728961104566</v>
      </c>
      <c r="X68" s="15">
        <f t="shared" si="12"/>
        <v>1068.1728961104566</v>
      </c>
      <c r="Y68" s="15">
        <f t="shared" si="12"/>
        <v>1068.1728961104566</v>
      </c>
      <c r="Z68" s="15">
        <f t="shared" si="12"/>
        <v>1068.1728961104566</v>
      </c>
      <c r="AA68" s="15">
        <f t="shared" si="12"/>
        <v>1068.1728961104566</v>
      </c>
      <c r="AB68" s="15">
        <f t="shared" si="12"/>
        <v>1068.1728961104566</v>
      </c>
      <c r="AC68" s="15">
        <f t="shared" si="12"/>
        <v>1068.1728961104566</v>
      </c>
    </row>
    <row r="69" spans="1:33" x14ac:dyDescent="0.25">
      <c r="D69" s="4"/>
    </row>
    <row r="70" spans="1:33" x14ac:dyDescent="0.25">
      <c r="D70" s="4"/>
      <c r="K70" s="1" t="s">
        <v>64</v>
      </c>
      <c r="M70" s="15">
        <f>+M60-M68</f>
        <v>-50000</v>
      </c>
      <c r="N70" s="15">
        <f t="shared" ref="N70:AG70" si="13">+N60-N68</f>
        <v>5006.8271038895437</v>
      </c>
      <c r="O70" s="15">
        <f t="shared" si="13"/>
        <v>5006.8271038895437</v>
      </c>
      <c r="P70" s="15">
        <f t="shared" si="13"/>
        <v>5006.8271038895437</v>
      </c>
      <c r="Q70" s="15">
        <f t="shared" si="13"/>
        <v>5006.8271038895437</v>
      </c>
      <c r="R70" s="15">
        <f t="shared" si="13"/>
        <v>-1293.1728961104566</v>
      </c>
      <c r="S70" s="15">
        <f t="shared" si="13"/>
        <v>5006.8271038895437</v>
      </c>
      <c r="T70" s="15">
        <f t="shared" si="13"/>
        <v>5006.8271038895437</v>
      </c>
      <c r="U70" s="15">
        <f t="shared" si="13"/>
        <v>5006.8271038895437</v>
      </c>
      <c r="V70" s="15">
        <f t="shared" si="13"/>
        <v>5006.8271038895437</v>
      </c>
      <c r="W70" s="15">
        <f t="shared" si="13"/>
        <v>-13893.172896110456</v>
      </c>
      <c r="X70" s="15">
        <f t="shared" si="13"/>
        <v>5006.8271038895437</v>
      </c>
      <c r="Y70" s="15">
        <f t="shared" si="13"/>
        <v>5006.8271038895437</v>
      </c>
      <c r="Z70" s="15">
        <f t="shared" si="13"/>
        <v>5006.8271038895437</v>
      </c>
      <c r="AA70" s="15">
        <f t="shared" si="13"/>
        <v>5006.8271038895437</v>
      </c>
      <c r="AB70" s="15">
        <f t="shared" si="13"/>
        <v>-1293.1728961104566</v>
      </c>
      <c r="AC70" s="15">
        <f t="shared" si="13"/>
        <v>5006.8271038895437</v>
      </c>
      <c r="AD70" s="15">
        <f t="shared" si="13"/>
        <v>6075</v>
      </c>
      <c r="AE70" s="15">
        <f t="shared" si="13"/>
        <v>6075</v>
      </c>
      <c r="AF70" s="15">
        <f t="shared" si="13"/>
        <v>6075</v>
      </c>
      <c r="AG70" s="15">
        <f t="shared" si="13"/>
        <v>7020</v>
      </c>
    </row>
    <row r="71" spans="1:33" x14ac:dyDescent="0.25">
      <c r="D71" s="4"/>
    </row>
    <row r="72" spans="1:33" x14ac:dyDescent="0.25">
      <c r="D72" s="4"/>
      <c r="L72" s="1" t="s">
        <v>49</v>
      </c>
      <c r="N72" s="15">
        <f>+NPV(G64,N70:AG70)+M70</f>
        <v>12733.866713053132</v>
      </c>
    </row>
    <row r="73" spans="1:33" x14ac:dyDescent="0.25">
      <c r="L73" s="1" t="s">
        <v>65</v>
      </c>
      <c r="N73" s="15">
        <f>-PMT(G64,20,N72)</f>
        <v>741.69343722915107</v>
      </c>
    </row>
    <row r="74" spans="1:33" x14ac:dyDescent="0.25">
      <c r="L74" s="1" t="s">
        <v>80</v>
      </c>
      <c r="N74" s="13">
        <f>+IRR(M70:AG70)</f>
        <v>3.8029304083834647E-2</v>
      </c>
    </row>
    <row r="76" spans="1:33" x14ac:dyDescent="0.25">
      <c r="R76" s="1" t="s">
        <v>95</v>
      </c>
      <c r="S76" s="1">
        <f>1+D109</f>
        <v>1.0149999999999999</v>
      </c>
    </row>
    <row r="77" spans="1:33" x14ac:dyDescent="0.25">
      <c r="A77" s="2" t="s">
        <v>26</v>
      </c>
      <c r="B77" s="2" t="s">
        <v>27</v>
      </c>
      <c r="K77" s="2" t="s">
        <v>26</v>
      </c>
      <c r="L77" s="2" t="s">
        <v>27</v>
      </c>
    </row>
    <row r="78" spans="1:33" x14ac:dyDescent="0.25">
      <c r="R78" s="1">
        <v>0</v>
      </c>
      <c r="S78" s="1">
        <v>1</v>
      </c>
      <c r="T78" s="1">
        <v>2</v>
      </c>
      <c r="U78" s="1">
        <v>3</v>
      </c>
      <c r="V78" s="1">
        <v>4</v>
      </c>
      <c r="W78" s="1">
        <v>5</v>
      </c>
      <c r="X78" s="1">
        <v>6</v>
      </c>
      <c r="Y78" s="1">
        <v>7</v>
      </c>
      <c r="Z78" s="1">
        <v>8</v>
      </c>
      <c r="AA78" s="1">
        <v>9</v>
      </c>
      <c r="AB78" s="1">
        <v>10</v>
      </c>
      <c r="AC78" s="1">
        <v>11</v>
      </c>
      <c r="AD78" s="1">
        <v>12</v>
      </c>
      <c r="AE78" s="1">
        <v>13</v>
      </c>
      <c r="AF78" s="1">
        <v>14</v>
      </c>
      <c r="AG78" s="1">
        <v>15</v>
      </c>
    </row>
    <row r="79" spans="1:33" x14ac:dyDescent="0.25">
      <c r="B79" s="1" t="s">
        <v>3</v>
      </c>
      <c r="E79" s="1">
        <v>100000</v>
      </c>
      <c r="F79" s="1" t="s">
        <v>5</v>
      </c>
      <c r="K79" s="1" t="s">
        <v>38</v>
      </c>
      <c r="M79" s="1">
        <v>0</v>
      </c>
      <c r="N79" s="1">
        <v>1</v>
      </c>
      <c r="O79" s="1">
        <v>2</v>
      </c>
      <c r="P79" s="1">
        <v>3</v>
      </c>
      <c r="Q79" s="1">
        <v>4</v>
      </c>
      <c r="R79" s="1">
        <v>5</v>
      </c>
      <c r="S79" s="1">
        <v>6</v>
      </c>
      <c r="T79" s="1">
        <v>7</v>
      </c>
      <c r="U79" s="1">
        <v>8</v>
      </c>
      <c r="V79" s="1">
        <v>9</v>
      </c>
      <c r="W79" s="1">
        <v>10</v>
      </c>
      <c r="X79" s="1">
        <v>11</v>
      </c>
      <c r="Y79" s="1">
        <v>12</v>
      </c>
      <c r="Z79" s="1">
        <v>13</v>
      </c>
      <c r="AA79" s="1">
        <v>14</v>
      </c>
      <c r="AB79" s="1">
        <v>15</v>
      </c>
      <c r="AC79" s="1">
        <v>16</v>
      </c>
      <c r="AD79" s="1">
        <v>17</v>
      </c>
      <c r="AE79" s="1">
        <v>18</v>
      </c>
      <c r="AF79" s="1">
        <v>19</v>
      </c>
      <c r="AG79" s="1">
        <v>20</v>
      </c>
    </row>
    <row r="80" spans="1:33" x14ac:dyDescent="0.25">
      <c r="C80" s="1" t="s">
        <v>10</v>
      </c>
      <c r="E80" s="3">
        <v>1</v>
      </c>
      <c r="G80" s="1" t="s">
        <v>7</v>
      </c>
      <c r="H80" s="1">
        <v>5</v>
      </c>
      <c r="I80" s="1" t="s">
        <v>8</v>
      </c>
    </row>
    <row r="81" spans="2:33" x14ac:dyDescent="0.25">
      <c r="J81" s="6"/>
      <c r="K81" s="1" t="s">
        <v>39</v>
      </c>
    </row>
    <row r="82" spans="2:33" x14ac:dyDescent="0.25">
      <c r="B82" s="1" t="s">
        <v>34</v>
      </c>
      <c r="E82" s="1">
        <v>20000</v>
      </c>
      <c r="F82" s="1" t="s">
        <v>5</v>
      </c>
      <c r="L82" s="1" t="s">
        <v>33</v>
      </c>
      <c r="N82" s="1">
        <f>+$E$91</f>
        <v>57500</v>
      </c>
      <c r="O82" s="1">
        <f t="shared" ref="O82:R82" si="14">+$E$91</f>
        <v>57500</v>
      </c>
      <c r="P82" s="1">
        <f t="shared" si="14"/>
        <v>57500</v>
      </c>
      <c r="Q82" s="1">
        <f t="shared" si="14"/>
        <v>57500</v>
      </c>
      <c r="R82" s="1">
        <f t="shared" si="14"/>
        <v>57500</v>
      </c>
    </row>
    <row r="83" spans="2:33" x14ac:dyDescent="0.25">
      <c r="L83" s="8" t="s">
        <v>91</v>
      </c>
      <c r="AG83" s="15">
        <f>+AG103-AG84</f>
        <v>12511.603332718376</v>
      </c>
    </row>
    <row r="84" spans="2:33" x14ac:dyDescent="0.25">
      <c r="L84" s="8" t="s">
        <v>92</v>
      </c>
      <c r="AG84" s="1">
        <f>+R90</f>
        <v>50000</v>
      </c>
    </row>
    <row r="85" spans="2:33" x14ac:dyDescent="0.25">
      <c r="L85" s="1" t="s">
        <v>73</v>
      </c>
      <c r="R85" s="1">
        <f>+M91</f>
        <v>0</v>
      </c>
    </row>
    <row r="86" spans="2:33" x14ac:dyDescent="0.25">
      <c r="B86" s="1" t="s">
        <v>11</v>
      </c>
      <c r="E86" s="1">
        <v>36000</v>
      </c>
      <c r="F86" s="1" t="s">
        <v>12</v>
      </c>
      <c r="J86" s="6"/>
      <c r="L86" s="1" t="s">
        <v>74</v>
      </c>
      <c r="R86" s="1">
        <f>+E82</f>
        <v>20000</v>
      </c>
    </row>
    <row r="88" spans="2:33" x14ac:dyDescent="0.25">
      <c r="B88" s="1" t="s">
        <v>18</v>
      </c>
      <c r="E88" s="1">
        <v>1500</v>
      </c>
      <c r="F88" s="1" t="s">
        <v>12</v>
      </c>
      <c r="K88" s="1" t="s">
        <v>42</v>
      </c>
    </row>
    <row r="89" spans="2:33" x14ac:dyDescent="0.25">
      <c r="L89" s="1" t="s">
        <v>89</v>
      </c>
      <c r="M89" s="1">
        <f>+E79</f>
        <v>100000</v>
      </c>
    </row>
    <row r="90" spans="2:33" x14ac:dyDescent="0.25">
      <c r="L90" s="8" t="s">
        <v>93</v>
      </c>
      <c r="R90" s="1">
        <v>50000</v>
      </c>
    </row>
    <row r="91" spans="2:33" x14ac:dyDescent="0.25">
      <c r="B91" s="1" t="s">
        <v>33</v>
      </c>
      <c r="E91" s="1">
        <v>57500</v>
      </c>
      <c r="F91" s="1" t="s">
        <v>12</v>
      </c>
      <c r="L91" s="1" t="s">
        <v>45</v>
      </c>
      <c r="M91" s="1">
        <v>0</v>
      </c>
    </row>
    <row r="92" spans="2:33" x14ac:dyDescent="0.25">
      <c r="J92" s="6"/>
    </row>
    <row r="93" spans="2:33" x14ac:dyDescent="0.25">
      <c r="B93" s="1" t="s">
        <v>20</v>
      </c>
      <c r="L93" s="1" t="s">
        <v>46</v>
      </c>
      <c r="N93" s="1">
        <f>+$E$86</f>
        <v>36000</v>
      </c>
      <c r="O93" s="1">
        <f t="shared" ref="O93:R93" si="15">+$E$86</f>
        <v>36000</v>
      </c>
      <c r="P93" s="1">
        <f t="shared" si="15"/>
        <v>36000</v>
      </c>
      <c r="Q93" s="1">
        <f t="shared" si="15"/>
        <v>36000</v>
      </c>
      <c r="R93" s="1">
        <f t="shared" si="15"/>
        <v>36000</v>
      </c>
    </row>
    <row r="94" spans="2:33" x14ac:dyDescent="0.25">
      <c r="L94" s="1" t="s">
        <v>18</v>
      </c>
      <c r="M94" s="1">
        <f>+$E$88</f>
        <v>1500</v>
      </c>
      <c r="N94" s="1">
        <f t="shared" ref="N94:Q94" si="16">+$E$88</f>
        <v>1500</v>
      </c>
      <c r="O94" s="1">
        <f t="shared" si="16"/>
        <v>1500</v>
      </c>
      <c r="P94" s="1">
        <f t="shared" si="16"/>
        <v>1500</v>
      </c>
      <c r="Q94" s="1">
        <f t="shared" si="16"/>
        <v>1500</v>
      </c>
    </row>
    <row r="95" spans="2:33" x14ac:dyDescent="0.25">
      <c r="B95" s="1" t="s">
        <v>21</v>
      </c>
    </row>
    <row r="96" spans="2:33" x14ac:dyDescent="0.25">
      <c r="B96" s="1" t="s">
        <v>22</v>
      </c>
      <c r="D96" s="1">
        <v>4</v>
      </c>
      <c r="E96" s="1" t="s">
        <v>8</v>
      </c>
      <c r="K96" s="1" t="s">
        <v>48</v>
      </c>
      <c r="M96" s="1">
        <f>+SUM(M82:M86)-SUM(M89:M94)</f>
        <v>-101500</v>
      </c>
      <c r="N96" s="1">
        <f t="shared" ref="N96:Q96" si="17">+SUM(N82:N86)-SUM(N89:N94)</f>
        <v>20000</v>
      </c>
      <c r="O96" s="1">
        <f t="shared" si="17"/>
        <v>20000</v>
      </c>
      <c r="P96" s="1">
        <f t="shared" si="17"/>
        <v>20000</v>
      </c>
      <c r="Q96" s="1">
        <f t="shared" si="17"/>
        <v>20000</v>
      </c>
      <c r="R96" s="1">
        <f>+SUM(R82:R86)-SUM(R89:R94)</f>
        <v>-8500</v>
      </c>
      <c r="S96" s="1">
        <f t="shared" ref="S96:AG96" si="18">+SUM(S82:S86)-SUM(S89:S94)</f>
        <v>0</v>
      </c>
      <c r="T96" s="1">
        <f t="shared" si="18"/>
        <v>0</v>
      </c>
      <c r="U96" s="1">
        <f t="shared" si="18"/>
        <v>0</v>
      </c>
      <c r="V96" s="1">
        <f t="shared" si="18"/>
        <v>0</v>
      </c>
      <c r="W96" s="1">
        <f t="shared" si="18"/>
        <v>0</v>
      </c>
      <c r="X96" s="1">
        <f t="shared" si="18"/>
        <v>0</v>
      </c>
      <c r="Y96" s="1">
        <f t="shared" si="18"/>
        <v>0</v>
      </c>
      <c r="Z96" s="1">
        <f t="shared" si="18"/>
        <v>0</v>
      </c>
      <c r="AA96" s="1">
        <f t="shared" si="18"/>
        <v>0</v>
      </c>
      <c r="AB96" s="1">
        <f t="shared" si="18"/>
        <v>0</v>
      </c>
      <c r="AC96" s="1">
        <f t="shared" si="18"/>
        <v>0</v>
      </c>
      <c r="AD96" s="1">
        <f t="shared" si="18"/>
        <v>0</v>
      </c>
      <c r="AE96" s="1">
        <f t="shared" si="18"/>
        <v>0</v>
      </c>
      <c r="AF96" s="1">
        <f t="shared" si="18"/>
        <v>0</v>
      </c>
      <c r="AG96" s="1">
        <f t="shared" si="18"/>
        <v>62511.603332718376</v>
      </c>
    </row>
    <row r="97" spans="1:33" x14ac:dyDescent="0.25">
      <c r="B97" s="1" t="s">
        <v>23</v>
      </c>
      <c r="D97" s="4">
        <v>2.5000000000000001E-2</v>
      </c>
      <c r="J97" s="6"/>
    </row>
    <row r="98" spans="1:33" x14ac:dyDescent="0.25">
      <c r="L98" s="1" t="s">
        <v>49</v>
      </c>
      <c r="M98" s="15">
        <f>+NPV(G100,N96:AG96)+M96</f>
        <v>8952.6086258048163</v>
      </c>
      <c r="N98" s="1" t="s">
        <v>5</v>
      </c>
      <c r="O98" s="1" t="s">
        <v>90</v>
      </c>
    </row>
    <row r="99" spans="1:33" x14ac:dyDescent="0.25">
      <c r="D99" s="4"/>
      <c r="F99" s="1" t="s">
        <v>82</v>
      </c>
      <c r="G99" s="1" t="s">
        <v>83</v>
      </c>
      <c r="L99" s="1" t="s">
        <v>65</v>
      </c>
      <c r="M99" s="15">
        <f>-PMT(G100,20,M98)</f>
        <v>547.90265688961176</v>
      </c>
      <c r="N99" s="15" t="s">
        <v>12</v>
      </c>
    </row>
    <row r="100" spans="1:33" x14ac:dyDescent="0.25">
      <c r="B100" s="1" t="s">
        <v>81</v>
      </c>
      <c r="D100" s="4" t="s">
        <v>52</v>
      </c>
      <c r="E100" s="1">
        <f>-M96</f>
        <v>101500</v>
      </c>
      <c r="F100" s="10">
        <v>1</v>
      </c>
      <c r="G100" s="13">
        <f>+F101*G101+F102*G102</f>
        <v>2.0073891625615764E-2</v>
      </c>
      <c r="H100" s="1" t="s">
        <v>84</v>
      </c>
      <c r="L100" s="1" t="s">
        <v>51</v>
      </c>
      <c r="M100" s="13">
        <f>+IRR(M96:AG96)</f>
        <v>3.0148738260332708E-2</v>
      </c>
    </row>
    <row r="101" spans="1:33" x14ac:dyDescent="0.25">
      <c r="D101" s="4" t="s">
        <v>53</v>
      </c>
      <c r="E101" s="1">
        <v>50000</v>
      </c>
      <c r="F101" s="20">
        <f>+E101/$E$100</f>
        <v>0.49261083743842365</v>
      </c>
      <c r="G101" s="13">
        <f>+D109</f>
        <v>1.4999999999999999E-2</v>
      </c>
      <c r="M101" s="13">
        <v>3.0148738260332708E-2</v>
      </c>
    </row>
    <row r="102" spans="1:33" x14ac:dyDescent="0.25">
      <c r="D102" s="4" t="s">
        <v>54</v>
      </c>
      <c r="E102" s="1">
        <f>+E100-E101</f>
        <v>51500</v>
      </c>
      <c r="F102" s="20">
        <f>+F100-F101</f>
        <v>0.50738916256157629</v>
      </c>
      <c r="G102" s="13">
        <f>+D97</f>
        <v>2.5000000000000001E-2</v>
      </c>
    </row>
    <row r="103" spans="1:33" x14ac:dyDescent="0.25">
      <c r="L103" s="1" t="s">
        <v>94</v>
      </c>
      <c r="R103" s="15">
        <f>+R90</f>
        <v>50000</v>
      </c>
      <c r="S103" s="15">
        <f>+R103*$S$76</f>
        <v>50749.999999999993</v>
      </c>
      <c r="T103" s="15">
        <f>+S103*$S$76</f>
        <v>51511.249999999985</v>
      </c>
      <c r="U103" s="15">
        <f t="shared" ref="U103:AG103" si="19">+T103*$S$76</f>
        <v>52283.918749999983</v>
      </c>
      <c r="V103" s="15">
        <f t="shared" si="19"/>
        <v>53068.177531249974</v>
      </c>
      <c r="W103" s="15">
        <f t="shared" si="19"/>
        <v>53864.20019421872</v>
      </c>
      <c r="X103" s="15">
        <f t="shared" si="19"/>
        <v>54672.163197131995</v>
      </c>
      <c r="Y103" s="15">
        <f t="shared" si="19"/>
        <v>55492.245645088966</v>
      </c>
      <c r="Z103" s="15">
        <f t="shared" si="19"/>
        <v>56324.629329765296</v>
      </c>
      <c r="AA103" s="15">
        <f t="shared" si="19"/>
        <v>57169.498769711769</v>
      </c>
      <c r="AB103" s="15">
        <f t="shared" si="19"/>
        <v>58027.04125125744</v>
      </c>
      <c r="AC103" s="15">
        <f t="shared" si="19"/>
        <v>58897.446870026295</v>
      </c>
      <c r="AD103" s="15">
        <f t="shared" si="19"/>
        <v>59780.908573076682</v>
      </c>
      <c r="AE103" s="15">
        <f t="shared" si="19"/>
        <v>60677.622201672828</v>
      </c>
      <c r="AF103" s="15">
        <f t="shared" si="19"/>
        <v>61587.786534697916</v>
      </c>
      <c r="AG103" s="15">
        <f t="shared" si="19"/>
        <v>62511.603332718376</v>
      </c>
    </row>
    <row r="107" spans="1:33" x14ac:dyDescent="0.25">
      <c r="A107" s="2" t="s">
        <v>28</v>
      </c>
      <c r="B107" s="2" t="s">
        <v>29</v>
      </c>
    </row>
    <row r="109" spans="1:33" x14ac:dyDescent="0.25">
      <c r="B109" s="1" t="s">
        <v>30</v>
      </c>
      <c r="D109" s="4">
        <v>1.4999999999999999E-2</v>
      </c>
    </row>
    <row r="110" spans="1:33" x14ac:dyDescent="0.25">
      <c r="B110" s="1" t="s">
        <v>36</v>
      </c>
      <c r="D110" s="1">
        <v>50000</v>
      </c>
      <c r="J110" s="7"/>
    </row>
    <row r="111" spans="1:33" x14ac:dyDescent="0.25">
      <c r="J111" s="7"/>
    </row>
    <row r="112" spans="1:33" x14ac:dyDescent="0.25">
      <c r="J112" s="7"/>
    </row>
  </sheetData>
  <pageMargins left="0.23622047244094491" right="0.23622047244094491" top="0.74803149606299213" bottom="0.74803149606299213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Variante</vt:lpstr>
      <vt:lpstr>GasKam+Bank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2022-01-14T13:58:17Z</dcterms:modified>
</cp:coreProperties>
</file>