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\a\BWL\BPlan\UPLa 2020\Uebungen\PP1\"/>
    </mc:Choice>
  </mc:AlternateContent>
  <bookViews>
    <workbookView xWindow="420" yWindow="1380" windowWidth="8060" windowHeight="4040"/>
  </bookViews>
  <sheets>
    <sheet name="Beispielsformular" sheetId="7" r:id="rId1"/>
    <sheet name="KalkOHNEGrenzKoOptIst" sheetId="11" state="hidden" r:id="rId2"/>
    <sheet name="KalkMITGrenzKoOptIst" sheetId="9" state="hidden" r:id="rId3"/>
    <sheet name="OptInvest" sheetId="8" state="hidden" r:id="rId4"/>
  </sheets>
  <definedNames>
    <definedName name="_xlnm.Print_Area" localSheetId="0">Beispielsformular!$B$1:$L$104</definedName>
    <definedName name="_xlnm.Print_Area" localSheetId="2">KalkMITGrenzKoOptIst!$B$2:$L$220</definedName>
    <definedName name="_xlnm.Print_Area" localSheetId="1">KalkOHNEGrenzKoOptIst!$B$2:$L$220</definedName>
    <definedName name="_xlnm.Print_Area" localSheetId="3">OptInvest!$B$14:$M$15</definedName>
  </definedNames>
  <calcPr calcId="162913"/>
</workbook>
</file>

<file path=xl/calcChain.xml><?xml version="1.0" encoding="utf-8"?>
<calcChain xmlns="http://schemas.openxmlformats.org/spreadsheetml/2006/main">
  <c r="H56" i="9" l="1"/>
  <c r="L56" i="9" s="1"/>
  <c r="H55" i="9"/>
  <c r="L55" i="9" s="1"/>
  <c r="L56" i="11"/>
  <c r="L55" i="11"/>
  <c r="I220" i="11" l="1"/>
  <c r="K203" i="11"/>
  <c r="J188" i="11"/>
  <c r="I188" i="11"/>
  <c r="H188" i="11"/>
  <c r="E187" i="11"/>
  <c r="J179" i="11"/>
  <c r="J178" i="11"/>
  <c r="J169" i="11" s="1"/>
  <c r="J177" i="11"/>
  <c r="E177" i="11"/>
  <c r="K172" i="11"/>
  <c r="J172" i="11"/>
  <c r="K169" i="11"/>
  <c r="J168" i="11"/>
  <c r="E168" i="11"/>
  <c r="J167" i="11"/>
  <c r="N56" i="11"/>
  <c r="K201" i="11"/>
  <c r="H56" i="11"/>
  <c r="H55" i="11"/>
  <c r="K142" i="11" s="1"/>
  <c r="J54" i="11"/>
  <c r="J53" i="11"/>
  <c r="J52" i="11"/>
  <c r="J57" i="11" s="1"/>
  <c r="L45" i="11"/>
  <c r="J45" i="11"/>
  <c r="H45" i="11"/>
  <c r="F45" i="11"/>
  <c r="K44" i="11"/>
  <c r="K43" i="11"/>
  <c r="L43" i="11" s="1"/>
  <c r="F43" i="11"/>
  <c r="E43" i="11"/>
  <c r="D43" i="11"/>
  <c r="B43" i="11"/>
  <c r="L42" i="11"/>
  <c r="K42" i="11"/>
  <c r="B42" i="11"/>
  <c r="K41" i="11"/>
  <c r="H31" i="11"/>
  <c r="L31" i="11" s="1"/>
  <c r="I213" i="11" s="1"/>
  <c r="L30" i="11"/>
  <c r="H30" i="11"/>
  <c r="I214" i="11" s="1"/>
  <c r="B24" i="11"/>
  <c r="B44" i="11" s="1"/>
  <c r="L23" i="11"/>
  <c r="F23" i="11"/>
  <c r="L22" i="11"/>
  <c r="I22" i="11"/>
  <c r="I42" i="11" s="1"/>
  <c r="E22" i="11"/>
  <c r="E42" i="11" s="1"/>
  <c r="K14" i="11"/>
  <c r="L14" i="11" s="1"/>
  <c r="I14" i="11"/>
  <c r="I24" i="11" s="1"/>
  <c r="G14" i="11"/>
  <c r="G24" i="11" s="1"/>
  <c r="E14" i="11"/>
  <c r="E24" i="11" s="1"/>
  <c r="D14" i="11"/>
  <c r="D24" i="11" s="1"/>
  <c r="D44" i="11" s="1"/>
  <c r="L13" i="11"/>
  <c r="K13" i="11"/>
  <c r="I13" i="11"/>
  <c r="J13" i="11" s="1"/>
  <c r="H13" i="11"/>
  <c r="G13" i="11"/>
  <c r="G22" i="11" s="1"/>
  <c r="E13" i="11"/>
  <c r="F13" i="11" s="1"/>
  <c r="D13" i="11"/>
  <c r="D22" i="11" s="1"/>
  <c r="D42" i="11" s="1"/>
  <c r="K12" i="11"/>
  <c r="L12" i="11" s="1"/>
  <c r="L15" i="11" s="1"/>
  <c r="I12" i="11"/>
  <c r="I21" i="11" s="1"/>
  <c r="I41" i="11" s="1"/>
  <c r="G12" i="11"/>
  <c r="H12" i="11" s="1"/>
  <c r="E12" i="11"/>
  <c r="E21" i="11" s="1"/>
  <c r="E41" i="11" s="1"/>
  <c r="D12" i="11"/>
  <c r="D21" i="11" s="1"/>
  <c r="D41" i="11" s="1"/>
  <c r="I220" i="9"/>
  <c r="K203" i="9"/>
  <c r="I188" i="9"/>
  <c r="H188" i="9"/>
  <c r="E187" i="9"/>
  <c r="J179" i="9"/>
  <c r="J172" i="9" s="1"/>
  <c r="J178" i="9"/>
  <c r="J169" i="9" s="1"/>
  <c r="E177" i="9"/>
  <c r="J177" i="9" s="1"/>
  <c r="J168" i="9" s="1"/>
  <c r="K172" i="9"/>
  <c r="K169" i="9"/>
  <c r="E168" i="9"/>
  <c r="J167" i="9"/>
  <c r="N56" i="9"/>
  <c r="J54" i="9"/>
  <c r="J53" i="9"/>
  <c r="J52" i="9"/>
  <c r="J57" i="9" s="1"/>
  <c r="L45" i="9"/>
  <c r="J45" i="9"/>
  <c r="H45" i="9"/>
  <c r="F45" i="9"/>
  <c r="K44" i="9"/>
  <c r="K43" i="9"/>
  <c r="E43" i="9"/>
  <c r="D43" i="9"/>
  <c r="B43" i="9"/>
  <c r="K42" i="9"/>
  <c r="B42" i="9"/>
  <c r="K41" i="9"/>
  <c r="H31" i="9"/>
  <c r="L31" i="9" s="1"/>
  <c r="I213" i="9" s="1"/>
  <c r="H30" i="9"/>
  <c r="I214" i="9" s="1"/>
  <c r="B24" i="9"/>
  <c r="L24" i="9" s="1"/>
  <c r="L23" i="9"/>
  <c r="F23" i="9"/>
  <c r="L22" i="9"/>
  <c r="K14" i="9"/>
  <c r="L14" i="9" s="1"/>
  <c r="J14" i="9"/>
  <c r="I14" i="9"/>
  <c r="I24" i="9" s="1"/>
  <c r="I44" i="9" s="1"/>
  <c r="G14" i="9"/>
  <c r="G24" i="9" s="1"/>
  <c r="F14" i="9"/>
  <c r="E14" i="9"/>
  <c r="E24" i="9" s="1"/>
  <c r="E44" i="9" s="1"/>
  <c r="D14" i="9"/>
  <c r="D24" i="9" s="1"/>
  <c r="D44" i="9" s="1"/>
  <c r="K13" i="9"/>
  <c r="L13" i="9" s="1"/>
  <c r="I13" i="9"/>
  <c r="J13" i="9" s="1"/>
  <c r="G13" i="9"/>
  <c r="G22" i="9" s="1"/>
  <c r="E13" i="9"/>
  <c r="F13" i="9" s="1"/>
  <c r="D13" i="9"/>
  <c r="D22" i="9" s="1"/>
  <c r="D42" i="9" s="1"/>
  <c r="L12" i="9"/>
  <c r="K12" i="9"/>
  <c r="I12" i="9"/>
  <c r="J12" i="9" s="1"/>
  <c r="G12" i="9"/>
  <c r="G21" i="9" s="1"/>
  <c r="G41" i="9" s="1"/>
  <c r="E12" i="9"/>
  <c r="E21" i="9" s="1"/>
  <c r="E41" i="9" s="1"/>
  <c r="D12" i="9"/>
  <c r="D21" i="9" s="1"/>
  <c r="D41" i="9" s="1"/>
  <c r="I216" i="11" l="1"/>
  <c r="I192" i="11"/>
  <c r="G42" i="11"/>
  <c r="H42" i="11" s="1"/>
  <c r="H22" i="11"/>
  <c r="I44" i="11"/>
  <c r="J24" i="11"/>
  <c r="H190" i="11"/>
  <c r="E172" i="11"/>
  <c r="B21" i="11"/>
  <c r="H187" i="11"/>
  <c r="J42" i="11"/>
  <c r="G44" i="11"/>
  <c r="H24" i="11"/>
  <c r="J44" i="11"/>
  <c r="L44" i="11"/>
  <c r="H44" i="11"/>
  <c r="F24" i="11"/>
  <c r="E44" i="11"/>
  <c r="F44" i="11" s="1"/>
  <c r="F12" i="11"/>
  <c r="J12" i="11"/>
  <c r="H14" i="11"/>
  <c r="H15" i="11" s="1"/>
  <c r="F22" i="11"/>
  <c r="J22" i="11"/>
  <c r="L24" i="11"/>
  <c r="H58" i="11"/>
  <c r="L58" i="11" s="1"/>
  <c r="K202" i="11" s="1"/>
  <c r="I208" i="11"/>
  <c r="G21" i="11"/>
  <c r="G41" i="11" s="1"/>
  <c r="F42" i="11"/>
  <c r="H57" i="11"/>
  <c r="F14" i="11"/>
  <c r="J14" i="11"/>
  <c r="L15" i="9"/>
  <c r="H187" i="9" s="1"/>
  <c r="K201" i="9"/>
  <c r="K142" i="9"/>
  <c r="F43" i="9"/>
  <c r="L43" i="9"/>
  <c r="B44" i="9"/>
  <c r="F44" i="9" s="1"/>
  <c r="J188" i="9"/>
  <c r="H12" i="9"/>
  <c r="L30" i="9"/>
  <c r="L42" i="9"/>
  <c r="I208" i="9"/>
  <c r="K200" i="9"/>
  <c r="H58" i="9"/>
  <c r="L58" i="9" s="1"/>
  <c r="K202" i="9" s="1"/>
  <c r="F12" i="9"/>
  <c r="F15" i="9" s="1"/>
  <c r="H186" i="9" s="1"/>
  <c r="H24" i="9"/>
  <c r="G44" i="9"/>
  <c r="I216" i="9"/>
  <c r="I192" i="9"/>
  <c r="E172" i="9"/>
  <c r="H190" i="9" s="1"/>
  <c r="B21" i="9"/>
  <c r="J15" i="9"/>
  <c r="G42" i="9"/>
  <c r="H42" i="9" s="1"/>
  <c r="H22" i="9"/>
  <c r="H13" i="9"/>
  <c r="I21" i="9"/>
  <c r="I41" i="9" s="1"/>
  <c r="E22" i="9"/>
  <c r="I22" i="9"/>
  <c r="F24" i="9"/>
  <c r="J24" i="9"/>
  <c r="H14" i="9"/>
  <c r="H57" i="9"/>
  <c r="D6" i="8"/>
  <c r="E6" i="8"/>
  <c r="F6" i="8"/>
  <c r="G6" i="8"/>
  <c r="H6" i="8"/>
  <c r="D7" i="8"/>
  <c r="D5" i="8"/>
  <c r="E5" i="8"/>
  <c r="D4" i="8"/>
  <c r="E4" i="8"/>
  <c r="F4" i="8"/>
  <c r="G4" i="8"/>
  <c r="H4" i="8"/>
  <c r="I4" i="8"/>
  <c r="J4" i="8"/>
  <c r="K4" i="8"/>
  <c r="L4" i="8"/>
  <c r="M4" i="8"/>
  <c r="N4" i="8"/>
  <c r="E7" i="8"/>
  <c r="D8" i="8"/>
  <c r="F7" i="8"/>
  <c r="G7" i="8"/>
  <c r="H7" i="8"/>
  <c r="H10" i="8"/>
  <c r="I10" i="8"/>
  <c r="J10" i="8"/>
  <c r="K10" i="8"/>
  <c r="F5" i="8"/>
  <c r="E8" i="8"/>
  <c r="G5" i="8"/>
  <c r="F8" i="8"/>
  <c r="H11" i="8"/>
  <c r="I11" i="8"/>
  <c r="J11" i="8"/>
  <c r="K11" i="8"/>
  <c r="L11" i="8"/>
  <c r="M11" i="8"/>
  <c r="N11" i="8"/>
  <c r="H5" i="8"/>
  <c r="G8" i="8"/>
  <c r="H9" i="8"/>
  <c r="I9" i="8"/>
  <c r="J9" i="8"/>
  <c r="K9" i="8"/>
  <c r="L9" i="8"/>
  <c r="M9" i="8"/>
  <c r="N9" i="8"/>
  <c r="H8" i="8"/>
  <c r="H12" i="8"/>
  <c r="I12" i="8"/>
  <c r="J12" i="8"/>
  <c r="K12" i="8"/>
  <c r="L12" i="8"/>
  <c r="M12" i="8"/>
  <c r="N12" i="8"/>
  <c r="H25" i="11" l="1"/>
  <c r="L57" i="11"/>
  <c r="K147" i="11" s="1"/>
  <c r="H21" i="11"/>
  <c r="G23" i="11" s="1"/>
  <c r="L21" i="11"/>
  <c r="L25" i="11" s="1"/>
  <c r="B41" i="11"/>
  <c r="J21" i="11"/>
  <c r="F21" i="11"/>
  <c r="F25" i="11" s="1"/>
  <c r="F15" i="11"/>
  <c r="H186" i="11" s="1"/>
  <c r="K141" i="11"/>
  <c r="K143" i="11" s="1"/>
  <c r="K149" i="11" s="1"/>
  <c r="K200" i="11"/>
  <c r="J15" i="11"/>
  <c r="H15" i="9"/>
  <c r="J44" i="9"/>
  <c r="H44" i="9"/>
  <c r="L44" i="9"/>
  <c r="H25" i="9"/>
  <c r="E42" i="9"/>
  <c r="F42" i="9" s="1"/>
  <c r="F22" i="9"/>
  <c r="H192" i="9"/>
  <c r="J25" i="9"/>
  <c r="I42" i="9"/>
  <c r="J42" i="9" s="1"/>
  <c r="J22" i="9"/>
  <c r="H189" i="9"/>
  <c r="H191" i="9" s="1"/>
  <c r="K204" i="9"/>
  <c r="K188" i="9"/>
  <c r="L188" i="9" s="1"/>
  <c r="L57" i="9"/>
  <c r="L21" i="9"/>
  <c r="L25" i="9" s="1"/>
  <c r="H21" i="9"/>
  <c r="B41" i="9"/>
  <c r="J21" i="9"/>
  <c r="F21" i="9"/>
  <c r="G43" i="11" l="1"/>
  <c r="H43" i="11" s="1"/>
  <c r="H23" i="11"/>
  <c r="H189" i="11"/>
  <c r="H191" i="11" s="1"/>
  <c r="K204" i="11"/>
  <c r="K188" i="11"/>
  <c r="L188" i="11" s="1"/>
  <c r="F26" i="11"/>
  <c r="I186" i="11" s="1"/>
  <c r="I189" i="11" s="1"/>
  <c r="L29" i="11"/>
  <c r="J25" i="11"/>
  <c r="I23" i="11"/>
  <c r="H192" i="11"/>
  <c r="L26" i="11"/>
  <c r="H32" i="11" s="1"/>
  <c r="L32" i="11" s="1"/>
  <c r="I209" i="11" s="1"/>
  <c r="J187" i="11"/>
  <c r="I187" i="11" s="1"/>
  <c r="F41" i="11"/>
  <c r="F46" i="11" s="1"/>
  <c r="L41" i="11"/>
  <c r="L46" i="11" s="1"/>
  <c r="H41" i="11"/>
  <c r="H46" i="11" s="1"/>
  <c r="J41" i="11"/>
  <c r="G23" i="9"/>
  <c r="I23" i="9"/>
  <c r="J23" i="9" s="1"/>
  <c r="H193" i="9"/>
  <c r="G43" i="9"/>
  <c r="H43" i="9" s="1"/>
  <c r="H23" i="9"/>
  <c r="I43" i="9"/>
  <c r="J43" i="9" s="1"/>
  <c r="F25" i="9"/>
  <c r="L26" i="9"/>
  <c r="H32" i="9" s="1"/>
  <c r="L32" i="9" s="1"/>
  <c r="I209" i="9" s="1"/>
  <c r="J187" i="9"/>
  <c r="I187" i="9" s="1"/>
  <c r="L41" i="9"/>
  <c r="L46" i="9" s="1"/>
  <c r="H41" i="9"/>
  <c r="J41" i="9"/>
  <c r="F41" i="9"/>
  <c r="F46" i="9" s="1"/>
  <c r="K141" i="9"/>
  <c r="K143" i="9" s="1"/>
  <c r="K149" i="9" s="1"/>
  <c r="K147" i="9"/>
  <c r="J192" i="9"/>
  <c r="J192" i="11" l="1"/>
  <c r="H193" i="11"/>
  <c r="L47" i="11"/>
  <c r="H54" i="11" s="1"/>
  <c r="L48" i="11"/>
  <c r="K131" i="11" s="1"/>
  <c r="I43" i="11"/>
  <c r="J43" i="11" s="1"/>
  <c r="J23" i="11"/>
  <c r="J46" i="11"/>
  <c r="L51" i="11"/>
  <c r="F48" i="11"/>
  <c r="F47" i="11"/>
  <c r="K186" i="11" s="1"/>
  <c r="H48" i="11"/>
  <c r="K83" i="11" s="1"/>
  <c r="H47" i="11"/>
  <c r="H52" i="11" s="1"/>
  <c r="I210" i="11"/>
  <c r="I190" i="11"/>
  <c r="J190" i="11" s="1"/>
  <c r="L34" i="11"/>
  <c r="L35" i="11" s="1"/>
  <c r="J186" i="11"/>
  <c r="J189" i="11" s="1"/>
  <c r="H46" i="9"/>
  <c r="H48" i="9" s="1"/>
  <c r="K83" i="9" s="1"/>
  <c r="J46" i="9"/>
  <c r="J48" i="9" s="1"/>
  <c r="K107" i="9" s="1"/>
  <c r="L48" i="9"/>
  <c r="K131" i="9" s="1"/>
  <c r="L47" i="9"/>
  <c r="H54" i="9" s="1"/>
  <c r="L51" i="9"/>
  <c r="F48" i="9"/>
  <c r="F47" i="9"/>
  <c r="K186" i="9" s="1"/>
  <c r="F26" i="9"/>
  <c r="I186" i="9" s="1"/>
  <c r="L29" i="9"/>
  <c r="L34" i="9" s="1"/>
  <c r="L35" i="9" s="1"/>
  <c r="J47" i="9"/>
  <c r="H53" i="9" s="1"/>
  <c r="I210" i="9"/>
  <c r="I190" i="9"/>
  <c r="J190" i="9" s="1"/>
  <c r="H47" i="9"/>
  <c r="H52" i="9" s="1"/>
  <c r="L186" i="11" l="1"/>
  <c r="J48" i="11"/>
  <c r="K107" i="11" s="1"/>
  <c r="J47" i="11"/>
  <c r="H53" i="11" s="1"/>
  <c r="K121" i="11"/>
  <c r="H60" i="11"/>
  <c r="L60" i="11" s="1"/>
  <c r="K187" i="11" s="1"/>
  <c r="L54" i="11"/>
  <c r="J191" i="11"/>
  <c r="J193" i="11" s="1"/>
  <c r="K73" i="11"/>
  <c r="L52" i="11"/>
  <c r="K208" i="11"/>
  <c r="K214" i="11"/>
  <c r="I191" i="11"/>
  <c r="I193" i="11" s="1"/>
  <c r="L186" i="9"/>
  <c r="L53" i="9"/>
  <c r="K97" i="9"/>
  <c r="I189" i="9"/>
  <c r="I191" i="9" s="1"/>
  <c r="I193" i="9" s="1"/>
  <c r="J186" i="9"/>
  <c r="J189" i="9" s="1"/>
  <c r="J191" i="9" s="1"/>
  <c r="J193" i="9" s="1"/>
  <c r="K121" i="9"/>
  <c r="H60" i="9"/>
  <c r="L60" i="9" s="1"/>
  <c r="K187" i="9" s="1"/>
  <c r="L54" i="9"/>
  <c r="K73" i="9"/>
  <c r="L52" i="9"/>
  <c r="K214" i="9"/>
  <c r="K208" i="9"/>
  <c r="L53" i="11" l="1"/>
  <c r="K97" i="11"/>
  <c r="K129" i="11"/>
  <c r="K119" i="11"/>
  <c r="K209" i="11"/>
  <c r="K81" i="11"/>
  <c r="K71" i="11"/>
  <c r="K219" i="11"/>
  <c r="K220" i="11" s="1"/>
  <c r="L187" i="11"/>
  <c r="L189" i="11"/>
  <c r="K210" i="11"/>
  <c r="K190" i="11"/>
  <c r="L190" i="11" s="1"/>
  <c r="L61" i="11"/>
  <c r="K189" i="11"/>
  <c r="K209" i="9"/>
  <c r="K190" i="9" s="1"/>
  <c r="L190" i="9" s="1"/>
  <c r="K129" i="9"/>
  <c r="K119" i="9"/>
  <c r="K213" i="9"/>
  <c r="K105" i="9"/>
  <c r="K95" i="9"/>
  <c r="K219" i="9"/>
  <c r="K220" i="9" s="1"/>
  <c r="L187" i="9"/>
  <c r="L189" i="9" s="1"/>
  <c r="L61" i="9"/>
  <c r="K81" i="9"/>
  <c r="K71" i="9"/>
  <c r="K189" i="9"/>
  <c r="K210" i="9"/>
  <c r="L191" i="11" l="1"/>
  <c r="K191" i="11"/>
  <c r="L63" i="11"/>
  <c r="L62" i="11"/>
  <c r="K95" i="11"/>
  <c r="K213" i="11"/>
  <c r="K105" i="11"/>
  <c r="K191" i="9"/>
  <c r="L191" i="9"/>
  <c r="K216" i="9"/>
  <c r="K192" i="9"/>
  <c r="L192" i="9" s="1"/>
  <c r="L63" i="9"/>
  <c r="L62" i="9"/>
  <c r="K94" i="11" l="1"/>
  <c r="K96" i="11" s="1"/>
  <c r="K98" i="11" s="1"/>
  <c r="K118" i="11"/>
  <c r="K120" i="11" s="1"/>
  <c r="K122" i="11" s="1"/>
  <c r="K70" i="11"/>
  <c r="K72" i="11" s="1"/>
  <c r="K74" i="11" s="1"/>
  <c r="K104" i="11"/>
  <c r="K106" i="11" s="1"/>
  <c r="K108" i="11" s="1"/>
  <c r="K146" i="11"/>
  <c r="K148" i="11" s="1"/>
  <c r="K150" i="11" s="1"/>
  <c r="K128" i="11"/>
  <c r="K130" i="11" s="1"/>
  <c r="K132" i="11" s="1"/>
  <c r="K80" i="11"/>
  <c r="K82" i="11" s="1"/>
  <c r="K84" i="11" s="1"/>
  <c r="K216" i="11"/>
  <c r="K192" i="11"/>
  <c r="L192" i="11" s="1"/>
  <c r="L193" i="11"/>
  <c r="L194" i="11" s="1"/>
  <c r="L193" i="9"/>
  <c r="L194" i="9" s="1"/>
  <c r="K193" i="9"/>
  <c r="K118" i="9"/>
  <c r="K120" i="9" s="1"/>
  <c r="K122" i="9" s="1"/>
  <c r="K70" i="9"/>
  <c r="K72" i="9" s="1"/>
  <c r="K74" i="9" s="1"/>
  <c r="K94" i="9"/>
  <c r="K96" i="9" s="1"/>
  <c r="K98" i="9" s="1"/>
  <c r="K104" i="9"/>
  <c r="K106" i="9" s="1"/>
  <c r="K108" i="9" s="1"/>
  <c r="K128" i="9"/>
  <c r="K130" i="9" s="1"/>
  <c r="K132" i="9" s="1"/>
  <c r="K80" i="9"/>
  <c r="K82" i="9" s="1"/>
  <c r="K84" i="9" s="1"/>
  <c r="K146" i="9"/>
  <c r="K148" i="9" s="1"/>
  <c r="K150" i="9" s="1"/>
  <c r="K193" i="11" l="1"/>
  <c r="I154" i="11"/>
  <c r="K154" i="11" s="1"/>
  <c r="I154" i="9"/>
  <c r="K154" i="9" s="1"/>
  <c r="I155" i="11" l="1"/>
  <c r="K155" i="11" s="1"/>
  <c r="I155" i="9"/>
  <c r="K155" i="9" s="1"/>
</calcChain>
</file>

<file path=xl/sharedStrings.xml><?xml version="1.0" encoding="utf-8"?>
<sst xmlns="http://schemas.openxmlformats.org/spreadsheetml/2006/main" count="1065" uniqueCount="210">
  <si>
    <t>ZielB</t>
  </si>
  <si>
    <t>ZielInv</t>
  </si>
  <si>
    <t>ZielOpt</t>
  </si>
  <si>
    <t>ZielOptInv</t>
  </si>
  <si>
    <t xml:space="preserve"> -</t>
  </si>
  <si>
    <t>Maximale Beschaffungskosten für zusätzliche Arbeitskapazität für die Investition!!</t>
  </si>
  <si>
    <t>Grenz-Bodenrente des Ziel-Betriebs im Vergleich zum Ist-Betrieb</t>
  </si>
  <si>
    <t>Grenz-Arbeitsentlohnung des Ziel-Betriebs im Vergleich zum "Optimierten Ist-Betrieb"</t>
  </si>
  <si>
    <t>Grenz-Bodenrente des Ziel-Betriebs im Vergleich zum "Optimierten Ist-Betrieb"</t>
  </si>
  <si>
    <t>Grenz-Bodenrente resultierend aus Optimierung UND Investition</t>
  </si>
  <si>
    <t>Winterweizen</t>
  </si>
  <si>
    <t>Ist-Betrieb (unverändert)</t>
  </si>
  <si>
    <t>= Vergleichs-Deckungsbeitrag Opt. Ist-Betrieb</t>
  </si>
  <si>
    <t>= Vergleichs-Deckungsbeitrag Ziel-Betrieb</t>
  </si>
  <si>
    <t>Grenz-Bodenrente resultierend aus Investition</t>
  </si>
  <si>
    <t>Maximale Beschaffungskosten für zusätzl. Nutzfläche für die Investition (Grenzpachtpreis) !!</t>
  </si>
  <si>
    <r>
      <t xml:space="preserve">Verzinsung des zusätzlich eingesetzten Kapitals </t>
    </r>
    <r>
      <rPr>
        <sz val="8"/>
        <rFont val="Arial"/>
        <family val="2"/>
      </rPr>
      <t>im Vergleich zum Ist-Betrieb</t>
    </r>
  </si>
  <si>
    <r>
      <t xml:space="preserve">Verzinsung des zusätzlich eingesetzten Kapitals </t>
    </r>
    <r>
      <rPr>
        <sz val="8"/>
        <rFont val="Arial"/>
        <family val="2"/>
      </rPr>
      <t>im Vergleich zum Opt.-Ist-Betrieb</t>
    </r>
  </si>
  <si>
    <r>
      <t xml:space="preserve">Ertrag für zusätzlich eingesetztes Kapital </t>
    </r>
    <r>
      <rPr>
        <sz val="8"/>
        <rFont val="Arial"/>
        <family val="2"/>
      </rPr>
      <t>im Vergleich zum Opt.-Ist-Betrieb</t>
    </r>
  </si>
  <si>
    <r>
      <t xml:space="preserve">Ertrag für zusätzlich eingesetztes Kapital </t>
    </r>
    <r>
      <rPr>
        <sz val="8"/>
        <rFont val="Arial"/>
        <family val="2"/>
      </rPr>
      <t>im Vergleich zum Ist-Betrieb</t>
    </r>
  </si>
  <si>
    <r>
      <t xml:space="preserve">Alle abgezogenen Kosten für zus. einges. Kapital </t>
    </r>
    <r>
      <rPr>
        <sz val="8"/>
        <rFont val="Arial"/>
        <family val="2"/>
      </rPr>
      <t>im Vergleich zum Ist-Betrieb</t>
    </r>
  </si>
  <si>
    <r>
      <t xml:space="preserve">Zusätzlich eingesetztes Kapital (UVV &amp; AV) </t>
    </r>
    <r>
      <rPr>
        <sz val="8"/>
        <rFont val="Arial"/>
        <family val="2"/>
      </rPr>
      <t>im Vergleich zum Ist-Betrieb</t>
    </r>
  </si>
  <si>
    <r>
      <t xml:space="preserve">Alle abgezogenen Kosten für zus. einges. Kapital </t>
    </r>
    <r>
      <rPr>
        <sz val="8"/>
        <rFont val="Arial"/>
        <family val="2"/>
      </rPr>
      <t>im Vergleich zum Opt.-Ist-Betrieb</t>
    </r>
  </si>
  <si>
    <r>
      <t xml:space="preserve">Zusätzlich eingesetztes Kapital (UVV &amp; AV) </t>
    </r>
    <r>
      <rPr>
        <sz val="8"/>
        <rFont val="Arial"/>
        <family val="2"/>
      </rPr>
      <t>im Vergleich zum Opt.-Ist-Betrieb</t>
    </r>
  </si>
  <si>
    <t>(ggf. zu vermindern um Sicherheits-/Risikoabschläge)</t>
  </si>
  <si>
    <t>Winterraps</t>
  </si>
  <si>
    <t>AKh</t>
  </si>
  <si>
    <t>€/AKh</t>
  </si>
  <si>
    <t>%</t>
  </si>
  <si>
    <t>€/ha</t>
  </si>
  <si>
    <t>– zus. Kosten für Anlageverm. und Sonstiges</t>
  </si>
  <si>
    <t>– Lohnanspruch zusätzliche Arbeit</t>
  </si>
  <si>
    <t>– Pacht für zusätzliche Fläche</t>
  </si>
  <si>
    <t>Kosten je Einheit</t>
  </si>
  <si>
    <t>je Einh.</t>
  </si>
  <si>
    <t>Arbeit (AKh)</t>
  </si>
  <si>
    <t>UVV (€) *</t>
  </si>
  <si>
    <t>*) Kapitalbedarf für Umlauf- und Viehvermögen</t>
  </si>
  <si>
    <t>Berechnung des Vergleichsdeckungsbeitrags:</t>
  </si>
  <si>
    <t>Sonnenblumen</t>
  </si>
  <si>
    <t>– zus. Unterhalt für Stallgebäude</t>
  </si>
  <si>
    <t>€</t>
  </si>
  <si>
    <t>Ertrag für zus. einges. Arbeit im Vergleich zu Opt.-Ist-Betrieb</t>
  </si>
  <si>
    <t>Zus. einges. Arbeit im Vergleich zu Opt.-Ist-Betrieb</t>
  </si>
  <si>
    <t>Ertrag für zus. einges. Fläche im Vergleich zu Ist-Betrieb</t>
  </si>
  <si>
    <t>Zus. einges. Fläche im Vergleich zu Ist-Betrieb</t>
  </si>
  <si>
    <t>Entlohnung zus. einges. Fläche im Vergleich zu Ist-Betrieb</t>
  </si>
  <si>
    <t>Ertrag für zus. einges. Fläche im Vergleich zu Opt.-Ist-Betrieb</t>
  </si>
  <si>
    <t>Zus. einges. Fläche im Vergleich zu Opt.-Ist-Betrieb</t>
  </si>
  <si>
    <t>Entlohnung zus. einges. Fläche im Vergleich zu Opt.-Ist-Betrieb</t>
  </si>
  <si>
    <t>Maximal tragbare jährliche Kosten der Investition</t>
  </si>
  <si>
    <t>Stück</t>
  </si>
  <si>
    <t>€ /Platz</t>
  </si>
  <si>
    <t>/</t>
  </si>
  <si>
    <t>Jährliche Kosten der Investition in % von A</t>
  </si>
  <si>
    <t>Maximale Anschaffungs-/Herstellungskosten</t>
  </si>
  <si>
    <t>Zusätzlicher Unternehmergewinn zu Ist-Betrieb</t>
  </si>
  <si>
    <t>Wertetabelle für Diagramm</t>
  </si>
  <si>
    <t>Beispielskalkulation zur Programmplanung I</t>
  </si>
  <si>
    <t>Betriebseinkommen</t>
  </si>
  <si>
    <t>Gewinn</t>
  </si>
  <si>
    <t>Unternehmergewinn</t>
  </si>
  <si>
    <t>Verzinsung des zusätzlich eingesetzten Kapitals</t>
  </si>
  <si>
    <t>€/Platz (Gebäude)</t>
  </si>
  <si>
    <t>€/Platz (Einrichtung)</t>
  </si>
  <si>
    <t>€/Jahr</t>
  </si>
  <si>
    <t>– Zinsanspruch zusätzliches Umlauf- und Viehvermögen</t>
  </si>
  <si>
    <t>Differenz zu Ist- Betrieb (Zusätzlicher Unternehmergewinn!!)</t>
  </si>
  <si>
    <t>%         =</t>
  </si>
  <si>
    <t>€/AKh  =</t>
  </si>
  <si>
    <t>€/ha     =</t>
  </si>
  <si>
    <t>Gewünschte Differenz zu Ist eingeben (Einzelwerte werden dadurch jedoch nicht verändert)</t>
  </si>
  <si>
    <t>€           ×</t>
  </si>
  <si>
    <t>1)</t>
  </si>
  <si>
    <t>2)</t>
  </si>
  <si>
    <t>3)</t>
  </si>
  <si>
    <t>–</t>
  </si>
  <si>
    <t>+</t>
  </si>
  <si>
    <t>=</t>
  </si>
  <si>
    <t>Summe DBs und Faktoreinsatz</t>
  </si>
  <si>
    <t>Anschaffungs-/Herstellungskosten (komplett)  (= A)</t>
  </si>
  <si>
    <t>Ist-Betrieb</t>
  </si>
  <si>
    <t xml:space="preserve"> Produktionsverfahren</t>
  </si>
  <si>
    <t>Deckungsbeitrag</t>
  </si>
  <si>
    <t>Umfang</t>
  </si>
  <si>
    <t>Bezeichnung</t>
  </si>
  <si>
    <t>ha</t>
  </si>
  <si>
    <t>Zuchtsauen</t>
  </si>
  <si>
    <t>Pl.</t>
  </si>
  <si>
    <t>Mastschweine</t>
  </si>
  <si>
    <t>Insges.</t>
  </si>
  <si>
    <t>-</t>
  </si>
  <si>
    <t>Insgesamt</t>
  </si>
  <si>
    <t>Gesamt-Deckungsbeitrag</t>
  </si>
  <si>
    <t>Kapitalrendite resultierend aus Optimierung UND Investition</t>
  </si>
  <si>
    <t>Grenz-Kapitalverzinsung des Ziel-Betriebs im Vergleich zum Ist-Betrieb</t>
  </si>
  <si>
    <t>Grenz-Kapitalverzinsung des Ziel-Betriebs im Vergleich zum "Optimierten Ist-Betrieb"</t>
  </si>
  <si>
    <t>Kapitalrendite resultierend aus der Investition</t>
  </si>
  <si>
    <t>Maximale Beschaffungskosten für zusätzliches Kapital (UVV &amp; AV) für die Investition!!</t>
  </si>
  <si>
    <t>Optimierter Ist-Betrieb (mit verändertem Faktoreinsatz)</t>
  </si>
  <si>
    <r>
      <t xml:space="preserve">Alle abgezogenen Kosten für zus. einges. Arbeit </t>
    </r>
    <r>
      <rPr>
        <sz val="8"/>
        <rFont val="Arial"/>
        <family val="2"/>
      </rPr>
      <t>im Vergleich zum Ist-Betrieb</t>
    </r>
  </si>
  <si>
    <t>Einh.</t>
  </si>
  <si>
    <t>UVV *</t>
  </si>
  <si>
    <t>Arbeit</t>
  </si>
  <si>
    <t>Fläche</t>
  </si>
  <si>
    <t>1 ha</t>
  </si>
  <si>
    <t>1 Stück</t>
  </si>
  <si>
    <t>Deckungsbeiträge und Faktoransprüche der Produktionsverfahren</t>
  </si>
  <si>
    <t>Dementsprechend fallen keinerlei Fremd-Löhne an.</t>
  </si>
  <si>
    <t>ha Eigentum. Die Nutzungskosten betragen:</t>
  </si>
  <si>
    <t xml:space="preserve">Von der Gesamtfläche sind: </t>
  </si>
  <si>
    <t>Davon seien:</t>
  </si>
  <si>
    <t>Veränderungen bei den festen Sachkosten</t>
  </si>
  <si>
    <t>Veränderungen bei den Nutzungskosten eigener Faktoren</t>
  </si>
  <si>
    <t>Veränderungen bei den Kosten fremder Faktoren</t>
  </si>
  <si>
    <t>zus. Löhne</t>
  </si>
  <si>
    <t>zus. Zinsen</t>
  </si>
  <si>
    <r>
      <t xml:space="preserve">zus. Pachten </t>
    </r>
    <r>
      <rPr>
        <sz val="8"/>
        <rFont val="Arial"/>
        <family val="2"/>
      </rPr>
      <t>(&amp; Mieten)</t>
    </r>
  </si>
  <si>
    <t>zus. Lohnansatz</t>
  </si>
  <si>
    <t>zus. Zinsansatz</t>
  </si>
  <si>
    <t>zus. Pachtansatz</t>
  </si>
  <si>
    <t xml:space="preserve">- </t>
  </si>
  <si>
    <t xml:space="preserve">(siehe unten Ziffer 1)  </t>
  </si>
  <si>
    <t xml:space="preserve">(siehe unten Ziffer 3)  </t>
  </si>
  <si>
    <t xml:space="preserve">(siehe unten Ziffer 2)  </t>
  </si>
  <si>
    <t>Beispielskalkulation zur Programmplanung I (mit verändertem Opt.Ist-Betrieb)</t>
  </si>
  <si>
    <t>Ziel-Betrieb (unverändert)</t>
  </si>
  <si>
    <t>Zusätzl. Kapital*:</t>
  </si>
  <si>
    <t>Zusätzl. Arbeit:</t>
  </si>
  <si>
    <t>Zusätzl. Nutzfläche:</t>
  </si>
  <si>
    <t>Ermittlung gesamtbetrieblicher Erfolgskennzahlen</t>
  </si>
  <si>
    <t>Entlohnung der zusätzlich eingesetzten Arbeit</t>
  </si>
  <si>
    <t>Rente der zusätzlich eingesetzten Fläche</t>
  </si>
  <si>
    <t>Lohnansatz, Zinsansatz, Pachtansatz</t>
  </si>
  <si>
    <t>Eigenkapital mit Nutzungskosten von:</t>
  </si>
  <si>
    <t>Fremdkapital mit Zinskosten von:</t>
  </si>
  <si>
    <t>Ausschließlich Familien-AK mit Nutzungskosten von:</t>
  </si>
  <si>
    <t>Ausschließlich Zupachtfläche mit Pachtkosten von:</t>
  </si>
  <si>
    <t>*) Summe aus Kapital für zus. Umlauf- und Viehvermögen sowie für zus. Anlagevermögen</t>
  </si>
  <si>
    <t>zus. Abschreibungen Stallgebäude</t>
  </si>
  <si>
    <t>zus. Abschreibungen Stalltechnik</t>
  </si>
  <si>
    <t>zus. Unterhalt für Stallgebäude</t>
  </si>
  <si>
    <t>zus. sonstige Kosten</t>
  </si>
  <si>
    <t>Differenz des Unternehmergewinns zwischen Ziel und Opt.-Ist:</t>
  </si>
  <si>
    <t>Diff zu Ist</t>
  </si>
  <si>
    <t>Opt.-Ist-Betrieb</t>
  </si>
  <si>
    <t>Ist-</t>
  </si>
  <si>
    <t>Betrieb</t>
  </si>
  <si>
    <t>Jährliche Kosten der Investition (AfA, Zinsanspruch, Unterhalt)</t>
  </si>
  <si>
    <t>Alle abgezogenen Kosten für zus. einges. Arbeit im Vergleich zu Opt.-Ist-Betrieb</t>
  </si>
  <si>
    <t>Alle abgezogenen Kosten für zus. einges. Fläche im Vergleich zu Ist-Betrieb</t>
  </si>
  <si>
    <t>Alle abgezogenen Kosten für zus. einges. Fläche im Vergleich zu Opt.-Ist-Betrieb</t>
  </si>
  <si>
    <t>Optimierter Ist-Betrieb</t>
  </si>
  <si>
    <t>Ziel-Betrieb</t>
  </si>
  <si>
    <t>Fläche (ha)</t>
  </si>
  <si>
    <t>Differenz zu Ist-Betrieb</t>
  </si>
  <si>
    <t>Differenz zu Opt.-Ist-Betrieb</t>
  </si>
  <si>
    <r>
      <t xml:space="preserve">Entlohnung der zusätzlich eingesetzten Arbeit </t>
    </r>
    <r>
      <rPr>
        <sz val="8"/>
        <rFont val="Arial"/>
        <family val="2"/>
      </rPr>
      <t>im Vergleich zum Opt.- Ist-Betrieb</t>
    </r>
  </si>
  <si>
    <r>
      <t xml:space="preserve">Entlohnung der zusätzlich eingesetzten Arbeit </t>
    </r>
    <r>
      <rPr>
        <sz val="8"/>
        <rFont val="Arial"/>
        <family val="2"/>
      </rPr>
      <t>im Vergleich zum Ist-Betrieb</t>
    </r>
  </si>
  <si>
    <r>
      <t xml:space="preserve">Zusätzlich eingesetzte Arbeit </t>
    </r>
    <r>
      <rPr>
        <sz val="8"/>
        <rFont val="Arial"/>
        <family val="2"/>
      </rPr>
      <t>im Vergleich zum Ist-Betrieb</t>
    </r>
  </si>
  <si>
    <r>
      <t xml:space="preserve">Ertrag für zusätzlich eingesetzte Arbeit </t>
    </r>
    <r>
      <rPr>
        <sz val="8"/>
        <rFont val="Arial"/>
        <family val="2"/>
      </rPr>
      <t>im Vergleich zum Ist-Betrieb</t>
    </r>
  </si>
  <si>
    <t>Grenz-Arbeitsentlohnung des Ziel-Betriebs im Vergleich zum Ist-Betrieb</t>
  </si>
  <si>
    <t>Arbeitsentlohnung resultierend aus Optimierung UND Investition</t>
  </si>
  <si>
    <t>Arbeitsentlohnung resultierend aus der Investition</t>
  </si>
  <si>
    <t>Flächenprämie</t>
  </si>
  <si>
    <t>– zus. sonstige Kosten (zus. Zahlungsansprüche, zus. allgemeiner Aufwand)</t>
  </si>
  <si>
    <t>+ zus. sonstige Erträge: zus. Flächenprämie</t>
  </si>
  <si>
    <t>4)</t>
  </si>
  <si>
    <t>Veränderungen bei Leistungen</t>
  </si>
  <si>
    <t>zus. Flächenprämie</t>
  </si>
  <si>
    <t>Differenz zu VDB Opt.-Ist- Betrieb (= Grenz-Unternehmergewinn aus Investition)</t>
  </si>
  <si>
    <t>Jahre   =</t>
  </si>
  <si>
    <t>Formeln in Zellen für UVV und AKh sorgen dafür dass Summen von UVV und AKh sich zu Ist nicht verändern</t>
  </si>
  <si>
    <r>
      <t>Differenz zu Ist</t>
    </r>
    <r>
      <rPr>
        <sz val="10"/>
        <rFont val="Arial"/>
        <family val="2"/>
      </rPr>
      <t xml:space="preserve">  ×</t>
    </r>
  </si>
  <si>
    <r>
      <t xml:space="preserve">=    </t>
    </r>
    <r>
      <rPr>
        <u/>
        <sz val="10"/>
        <rFont val="Arial"/>
        <family val="2"/>
      </rPr>
      <t>Betrag</t>
    </r>
  </si>
  <si>
    <t>€ (UVV)  ×</t>
  </si>
  <si>
    <t>AKh       ×</t>
  </si>
  <si>
    <t>€/AKh   =</t>
  </si>
  <si>
    <t>ha          ×</t>
  </si>
  <si>
    <t>€/ha      =</t>
  </si>
  <si>
    <t>%        =</t>
  </si>
  <si>
    <t>Differenz zu Ist- Betrieb (= Grenz-Unternehmergewinn aus Optimierung &amp; Investition)</t>
  </si>
  <si>
    <t>Zusätzlicher Unternehmergewinn zu Opt-Ist-Betrieb</t>
  </si>
  <si>
    <t>Maximale Anschaffungs-/Herstellungskosten für die Investition (Stallbau)</t>
  </si>
  <si>
    <t>Beim unterstellten Verhältnis der Anschaffungskosten Gebäude : Stalltechnik ergeben</t>
  </si>
  <si>
    <t>sich folglich maximale Anschaffungs-/Herstellungskosten für:</t>
  </si>
  <si>
    <t>das Stallgebäude:</t>
  </si>
  <si>
    <t>die Stalltechnik:</t>
  </si>
  <si>
    <t>Gesamtbetriebliche Erfolgsrechnug der Pläne im Vergleich</t>
  </si>
  <si>
    <t>Festkosten, Faktoreinsatz und Faktorkosten des Ist-Betriebes</t>
  </si>
  <si>
    <t>Die jährlichen Festkosten des Ist-Betriebes betragen (vereinfachend geschätzt):</t>
  </si>
  <si>
    <t>Eingabezelle !</t>
  </si>
  <si>
    <r>
      <t xml:space="preserve">Das gesamte Besatzkaptial </t>
    </r>
    <r>
      <rPr>
        <sz val="8"/>
        <rFont val="Arial"/>
        <family val="2"/>
      </rPr>
      <t>(Gesamtkapital ohne Boden)</t>
    </r>
    <r>
      <rPr>
        <sz val="10"/>
        <rFont val="Arial"/>
        <family val="2"/>
      </rPr>
      <t xml:space="preserve"> wird geschätzt auf :</t>
    </r>
  </si>
  <si>
    <r>
      <t>Eigenkapital mit Nutzungskosten von</t>
    </r>
    <r>
      <rPr>
        <sz val="10"/>
        <rFont val="Arial"/>
        <family val="2"/>
      </rPr>
      <t>:</t>
    </r>
  </si>
  <si>
    <t>wie unten</t>
  </si>
  <si>
    <r>
      <t>Fremdkapital mit Zinskosten von</t>
    </r>
    <r>
      <rPr>
        <sz val="10"/>
        <rFont val="Arial"/>
        <family val="2"/>
      </rPr>
      <t>:</t>
    </r>
  </si>
  <si>
    <t>Es werden nur Familien-AK eingesetzt. Die Nutzungskosten betragen:</t>
  </si>
  <si>
    <r>
      <t>ha zugepachtet zu einem Preis von</t>
    </r>
    <r>
      <rPr>
        <sz val="10"/>
        <rFont val="Arial"/>
        <family val="2"/>
      </rPr>
      <t>:</t>
    </r>
  </si>
  <si>
    <t>(Nutzungs-)Kosten für zusätzlichen Faktorbedarf der Planbetriebe</t>
  </si>
  <si>
    <t>Berechnet gemäß KZF in der Planung und NuKo Eigenkapital</t>
  </si>
  <si>
    <t>Übertragen aus Planung</t>
  </si>
  <si>
    <t>Feste Sachkosten</t>
  </si>
  <si>
    <t>Löhne, Zinsen, Pachten, Mieten</t>
  </si>
  <si>
    <t>Die aufgeführten Kostenänderungen zwischen den Plänen (Spalte "Diff zu Ist")</t>
  </si>
  <si>
    <t>setzen sich wie folgt zusammen:</t>
  </si>
  <si>
    <t>€ insges. =</t>
  </si>
  <si>
    <t>€           /</t>
  </si>
  <si>
    <t>– zus. Abschreibungen Stallgebäude (A-R)/N</t>
  </si>
  <si>
    <t>– zus. Abschreibungen Stalltechnik  (A-R)/N</t>
  </si>
  <si>
    <t>– Zinsanspruch zus. Anlagevermögen (A + R) / 2 ×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</si>
</sst>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#,##0\ "/>
    <numFmt numFmtId="165" formatCode="#,##0.0\ "/>
    <numFmt numFmtId="166" formatCode="0.0"/>
    <numFmt numFmtId="167" formatCode="#,##0\ ;\-#,##0\ ;;"/>
    <numFmt numFmtId="168" formatCode="\+* #,##0\ ;\-* #,##0\ ;;"/>
    <numFmt numFmtId="169" formatCode="#,##0.00\ [$€-407];\-#,##0.00\ [$€-407]"/>
    <numFmt numFmtId="170" formatCode="#,##0.0\ ;\-#,##0.0\ ;;"/>
    <numFmt numFmtId="171" formatCode="#,##0.00\ ;\-#,##0.00\ ;;"/>
    <numFmt numFmtId="172" formatCode="#,##0.000\ ;\-#,##0.000\ ;;"/>
    <numFmt numFmtId="173" formatCode="0.0;\-0.0;;@"/>
    <numFmt numFmtId="174" formatCode="#,##0.00\ "/>
    <numFmt numFmtId="175" formatCode="#,##0.0"/>
  </numFmts>
  <fonts count="21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5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8"/>
      <name val="Arial"/>
      <family val="2"/>
    </font>
    <font>
      <sz val="10"/>
      <color indexed="23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5">
    <xf numFmtId="0" fontId="0" fillId="0" borderId="0"/>
    <xf numFmtId="0" fontId="7" fillId="0" borderId="0" applyNumberFormat="0" applyBorder="0" applyAlignment="0" applyProtection="0"/>
    <xf numFmtId="0" fontId="7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2" borderId="0" applyNumberFormat="0" applyFont="0" applyBorder="0" applyAlignment="0" applyProtection="0"/>
    <xf numFmtId="0" fontId="3" fillId="3" borderId="0" applyNumberFormat="0" applyFont="0" applyBorder="0" applyAlignment="0">
      <protection locked="0"/>
    </xf>
    <xf numFmtId="169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2" borderId="0" applyNumberFormat="0" applyFont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3" fillId="0" borderId="0" applyNumberFormat="0" applyFont="0" applyFill="0" applyBorder="0" applyProtection="0">
      <alignment vertical="top"/>
    </xf>
    <xf numFmtId="0" fontId="6" fillId="0" borderId="0" applyNumberFormat="0" applyFill="0" applyBorder="0" applyProtection="0">
      <alignment vertical="top"/>
    </xf>
    <xf numFmtId="0" fontId="8" fillId="0" borderId="0" applyNumberFormat="0" applyFill="0" applyBorder="0" applyProtection="0">
      <alignment horizontal="left" vertical="top"/>
    </xf>
    <xf numFmtId="0" fontId="9" fillId="0" borderId="0" applyNumberFormat="0" applyFill="0" applyBorder="0" applyProtection="0">
      <alignment horizontal="left" vertical="top"/>
    </xf>
    <xf numFmtId="0" fontId="9" fillId="0" borderId="0" applyNumberFormat="0" applyFill="0" applyBorder="0" applyProtection="0">
      <alignment horizontal="left" vertical="top"/>
    </xf>
    <xf numFmtId="17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horizontal="left" vertical="top"/>
    </xf>
  </cellStyleXfs>
  <cellXfs count="390">
    <xf numFmtId="0" fontId="0" fillId="0" borderId="0" xfId="0"/>
    <xf numFmtId="0" fontId="0" fillId="0" borderId="0" xfId="0" applyFill="1"/>
    <xf numFmtId="0" fontId="4" fillId="0" borderId="0" xfId="0" applyFont="1" applyFill="1"/>
    <xf numFmtId="0" fontId="8" fillId="0" borderId="0" xfId="17" applyFill="1">
      <alignment horizontal="left" vertical="top"/>
    </xf>
    <xf numFmtId="0" fontId="8" fillId="0" borderId="0" xfId="17" applyFont="1" applyFill="1">
      <alignment horizontal="left" vertical="top"/>
    </xf>
    <xf numFmtId="0" fontId="3" fillId="0" borderId="0" xfId="0" applyFont="1" applyFill="1"/>
    <xf numFmtId="0" fontId="1" fillId="0" borderId="0" xfId="0" applyNumberFormat="1" applyFont="1" applyFill="1"/>
    <xf numFmtId="0" fontId="9" fillId="0" borderId="0" xfId="0" applyFont="1" applyFill="1"/>
    <xf numFmtId="164" fontId="3" fillId="0" borderId="8" xfId="0" applyNumberFormat="1" applyFont="1" applyFill="1" applyBorder="1"/>
    <xf numFmtId="164" fontId="3" fillId="0" borderId="12" xfId="0" applyNumberFormat="1" applyFont="1" applyFill="1" applyBorder="1"/>
    <xf numFmtId="164" fontId="3" fillId="0" borderId="13" xfId="0" applyNumberFormat="1" applyFont="1" applyFill="1" applyBorder="1"/>
    <xf numFmtId="164" fontId="3" fillId="0" borderId="15" xfId="0" applyNumberFormat="1" applyFont="1" applyFill="1" applyBorder="1"/>
    <xf numFmtId="0" fontId="16" fillId="0" borderId="0" xfId="0" applyFont="1" applyFill="1"/>
    <xf numFmtId="0" fontId="3" fillId="0" borderId="3" xfId="0" applyFont="1" applyFill="1" applyBorder="1"/>
    <xf numFmtId="0" fontId="3" fillId="0" borderId="6" xfId="0" applyFont="1" applyFill="1" applyBorder="1" applyAlignment="1">
      <alignment horizontal="centerContinuous"/>
    </xf>
    <xf numFmtId="0" fontId="3" fillId="0" borderId="7" xfId="0" applyFont="1" applyFill="1" applyBorder="1" applyAlignment="1">
      <alignment horizontal="centerContinuous"/>
    </xf>
    <xf numFmtId="0" fontId="3" fillId="0" borderId="8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7" fillId="0" borderId="0" xfId="0" applyFont="1" applyFill="1"/>
    <xf numFmtId="0" fontId="3" fillId="0" borderId="8" xfId="0" applyFont="1" applyFill="1" applyBorder="1" applyAlignment="1">
      <alignment horizontal="left"/>
    </xf>
    <xf numFmtId="164" fontId="3" fillId="0" borderId="6" xfId="0" applyNumberFormat="1" applyFont="1" applyFill="1" applyBorder="1"/>
    <xf numFmtId="164" fontId="3" fillId="0" borderId="11" xfId="0" applyNumberFormat="1" applyFont="1" applyFill="1" applyBorder="1"/>
    <xf numFmtId="165" fontId="3" fillId="0" borderId="11" xfId="0" applyNumberFormat="1" applyFont="1" applyFill="1" applyBorder="1"/>
    <xf numFmtId="0" fontId="3" fillId="0" borderId="12" xfId="0" applyFont="1" applyFill="1" applyBorder="1" applyAlignment="1">
      <alignment horizontal="left"/>
    </xf>
    <xf numFmtId="164" fontId="3" fillId="0" borderId="14" xfId="0" applyNumberFormat="1" applyFont="1" applyFill="1" applyBorder="1"/>
    <xf numFmtId="165" fontId="3" fillId="0" borderId="14" xfId="0" applyNumberFormat="1" applyFont="1" applyFill="1" applyBorder="1"/>
    <xf numFmtId="0" fontId="3" fillId="0" borderId="15" xfId="0" applyFont="1" applyFill="1" applyBorder="1" applyAlignment="1">
      <alignment horizontal="left"/>
    </xf>
    <xf numFmtId="164" fontId="3" fillId="0" borderId="16" xfId="0" applyNumberFormat="1" applyFont="1" applyFill="1" applyBorder="1"/>
    <xf numFmtId="164" fontId="3" fillId="0" borderId="17" xfId="0" applyNumberFormat="1" applyFont="1" applyFill="1" applyBorder="1"/>
    <xf numFmtId="165" fontId="3" fillId="0" borderId="17" xfId="0" applyNumberFormat="1" applyFont="1" applyFill="1" applyBorder="1"/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Fill="1" applyBorder="1"/>
    <xf numFmtId="164" fontId="3" fillId="0" borderId="1" xfId="0" applyNumberFormat="1" applyFont="1" applyFill="1" applyBorder="1" applyAlignment="1">
      <alignment horizontal="center"/>
    </xf>
    <xf numFmtId="165" fontId="3" fillId="0" borderId="5" xfId="0" applyNumberFormat="1" applyFont="1" applyFill="1" applyBorder="1"/>
    <xf numFmtId="0" fontId="3" fillId="0" borderId="18" xfId="0" applyFont="1" applyFill="1" applyBorder="1" applyAlignment="1">
      <alignment horizontal="left"/>
    </xf>
    <xf numFmtId="164" fontId="3" fillId="0" borderId="19" xfId="0" applyNumberFormat="1" applyFont="1" applyFill="1" applyBorder="1"/>
    <xf numFmtId="166" fontId="3" fillId="0" borderId="6" xfId="0" applyNumberFormat="1" applyFont="1" applyFill="1" applyBorder="1" applyAlignment="1" applyProtection="1">
      <alignment horizontal="left" indent="1"/>
    </xf>
    <xf numFmtId="164" fontId="3" fillId="0" borderId="6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166" fontId="3" fillId="0" borderId="16" xfId="0" applyNumberFormat="1" applyFont="1" applyFill="1" applyBorder="1" applyAlignment="1" applyProtection="1">
      <alignment horizontal="left" indent="1"/>
    </xf>
    <xf numFmtId="164" fontId="3" fillId="0" borderId="16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quotePrefix="1" applyFont="1" applyFill="1" applyBorder="1" applyAlignment="1">
      <alignment horizontal="left"/>
    </xf>
    <xf numFmtId="164" fontId="3" fillId="0" borderId="0" xfId="0" applyNumberFormat="1" applyFont="1" applyFill="1" applyBorder="1"/>
    <xf numFmtId="164" fontId="3" fillId="0" borderId="18" xfId="0" applyNumberFormat="1" applyFont="1" applyFill="1" applyBorder="1"/>
    <xf numFmtId="166" fontId="3" fillId="0" borderId="13" xfId="0" applyNumberFormat="1" applyFont="1" applyFill="1" applyBorder="1" applyAlignment="1" applyProtection="1">
      <alignment horizontal="left" indent="1"/>
    </xf>
    <xf numFmtId="164" fontId="3" fillId="0" borderId="13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9" xfId="0" applyFont="1" applyFill="1" applyBorder="1"/>
    <xf numFmtId="166" fontId="2" fillId="0" borderId="21" xfId="0" applyNumberFormat="1" applyFont="1" applyFill="1" applyBorder="1"/>
    <xf numFmtId="164" fontId="3" fillId="0" borderId="22" xfId="0" applyNumberFormat="1" applyFont="1" applyFill="1" applyBorder="1"/>
    <xf numFmtId="164" fontId="3" fillId="0" borderId="12" xfId="0" applyNumberFormat="1" applyFont="1" applyFill="1" applyBorder="1" applyAlignment="1"/>
    <xf numFmtId="0" fontId="3" fillId="0" borderId="12" xfId="0" applyNumberFormat="1" applyFont="1" applyFill="1" applyBorder="1" applyAlignment="1"/>
    <xf numFmtId="164" fontId="3" fillId="0" borderId="12" xfId="0" quotePrefix="1" applyNumberFormat="1" applyFont="1" applyFill="1" applyBorder="1" applyAlignment="1"/>
    <xf numFmtId="166" fontId="3" fillId="0" borderId="12" xfId="0" quotePrefix="1" applyNumberFormat="1" applyFont="1" applyFill="1" applyBorder="1" applyAlignment="1"/>
    <xf numFmtId="0" fontId="3" fillId="0" borderId="12" xfId="0" quotePrefix="1" applyNumberFormat="1" applyFont="1" applyFill="1" applyBorder="1" applyAlignment="1"/>
    <xf numFmtId="3" fontId="3" fillId="0" borderId="15" xfId="0" applyNumberFormat="1" applyFont="1" applyFill="1" applyBorder="1" applyAlignment="1"/>
    <xf numFmtId="3" fontId="3" fillId="0" borderId="12" xfId="0" applyNumberFormat="1" applyFont="1" applyFill="1" applyBorder="1" applyAlignment="1"/>
    <xf numFmtId="3" fontId="3" fillId="0" borderId="12" xfId="0" quotePrefix="1" applyNumberFormat="1" applyFont="1" applyFill="1" applyBorder="1" applyAlignment="1"/>
    <xf numFmtId="2" fontId="3" fillId="0" borderId="12" xfId="0" applyNumberFormat="1" applyFont="1" applyFill="1" applyBorder="1" applyAlignment="1"/>
    <xf numFmtId="0" fontId="15" fillId="0" borderId="0" xfId="0" applyFont="1" applyFill="1" applyAlignment="1">
      <alignment horizontal="right"/>
    </xf>
    <xf numFmtId="0" fontId="3" fillId="0" borderId="6" xfId="0" applyNumberFormat="1" applyFont="1" applyFill="1" applyBorder="1"/>
    <xf numFmtId="0" fontId="3" fillId="0" borderId="13" xfId="0" applyNumberFormat="1" applyFont="1" applyFill="1" applyBorder="1"/>
    <xf numFmtId="0" fontId="3" fillId="0" borderId="19" xfId="0" applyNumberFormat="1" applyFont="1" applyFill="1" applyBorder="1"/>
    <xf numFmtId="0" fontId="3" fillId="0" borderId="16" xfId="0" applyNumberFormat="1" applyFont="1" applyFill="1" applyBorder="1"/>
    <xf numFmtId="0" fontId="3" fillId="0" borderId="2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 applyProtection="1">
      <alignment horizontal="left" indent="1"/>
    </xf>
    <xf numFmtId="0" fontId="3" fillId="0" borderId="0" xfId="0" applyNumberFormat="1" applyFont="1" applyFill="1"/>
    <xf numFmtId="0" fontId="3" fillId="0" borderId="6" xfId="0" applyNumberFormat="1" applyFont="1" applyFill="1" applyBorder="1" applyAlignment="1" applyProtection="1">
      <alignment horizontal="left" indent="1"/>
    </xf>
    <xf numFmtId="0" fontId="3" fillId="0" borderId="16" xfId="0" applyNumberFormat="1" applyFont="1" applyFill="1" applyBorder="1" applyAlignment="1" applyProtection="1">
      <alignment horizontal="left" indent="1"/>
    </xf>
    <xf numFmtId="0" fontId="3" fillId="0" borderId="2" xfId="0" applyNumberFormat="1" applyFont="1" applyFill="1" applyBorder="1"/>
    <xf numFmtId="0" fontId="2" fillId="0" borderId="21" xfId="0" applyNumberFormat="1" applyFont="1" applyFill="1" applyBorder="1"/>
    <xf numFmtId="174" fontId="3" fillId="0" borderId="6" xfId="0" applyNumberFormat="1" applyFont="1" applyFill="1" applyBorder="1"/>
    <xf numFmtId="174" fontId="3" fillId="0" borderId="13" xfId="0" applyNumberFormat="1" applyFont="1" applyFill="1" applyBorder="1"/>
    <xf numFmtId="174" fontId="3" fillId="0" borderId="16" xfId="0" applyNumberFormat="1" applyFont="1" applyFill="1" applyBorder="1"/>
    <xf numFmtId="174" fontId="3" fillId="0" borderId="19" xfId="0" applyNumberFormat="1" applyFont="1" applyFill="1" applyBorder="1"/>
    <xf numFmtId="0" fontId="1" fillId="0" borderId="0" xfId="17" applyFont="1" applyFill="1">
      <alignment horizontal="left" vertical="top"/>
    </xf>
    <xf numFmtId="0" fontId="5" fillId="0" borderId="0" xfId="13"/>
    <xf numFmtId="3" fontId="5" fillId="0" borderId="0" xfId="13" applyNumberFormat="1"/>
    <xf numFmtId="0" fontId="1" fillId="0" borderId="0" xfId="13" applyFont="1"/>
    <xf numFmtId="0" fontId="5" fillId="0" borderId="0" xfId="13" applyFont="1"/>
    <xf numFmtId="0" fontId="3" fillId="0" borderId="30" xfId="0" applyNumberFormat="1" applyFont="1" applyFill="1" applyBorder="1" applyAlignment="1" applyProtection="1">
      <alignment horizontal="left" indent="1"/>
    </xf>
    <xf numFmtId="0" fontId="3" fillId="0" borderId="31" xfId="0" applyFont="1" applyFill="1" applyBorder="1" applyAlignment="1">
      <alignment horizontal="left"/>
    </xf>
    <xf numFmtId="164" fontId="3" fillId="0" borderId="30" xfId="0" applyNumberFormat="1" applyFont="1" applyFill="1" applyBorder="1" applyAlignment="1">
      <alignment horizontal="center"/>
    </xf>
    <xf numFmtId="164" fontId="3" fillId="0" borderId="37" xfId="0" applyNumberFormat="1" applyFont="1" applyFill="1" applyBorder="1"/>
    <xf numFmtId="164" fontId="3" fillId="0" borderId="31" xfId="0" applyNumberFormat="1" applyFont="1" applyFill="1" applyBorder="1" applyAlignment="1">
      <alignment horizontal="center"/>
    </xf>
    <xf numFmtId="165" fontId="3" fillId="0" borderId="37" xfId="0" applyNumberFormat="1" applyFont="1" applyFill="1" applyBorder="1"/>
    <xf numFmtId="0" fontId="15" fillId="0" borderId="6" xfId="0" applyNumberFormat="1" applyFont="1" applyFill="1" applyBorder="1" applyAlignment="1" applyProtection="1">
      <alignment horizontal="left" indent="1"/>
    </xf>
    <xf numFmtId="0" fontId="15" fillId="0" borderId="16" xfId="0" applyNumberFormat="1" applyFont="1" applyFill="1" applyBorder="1" applyAlignment="1" applyProtection="1">
      <alignment horizontal="left" indent="1"/>
    </xf>
    <xf numFmtId="166" fontId="15" fillId="0" borderId="6" xfId="0" applyNumberFormat="1" applyFont="1" applyFill="1" applyBorder="1" applyAlignment="1" applyProtection="1">
      <alignment horizontal="left" indent="1"/>
    </xf>
    <xf numFmtId="166" fontId="15" fillId="0" borderId="13" xfId="0" applyNumberFormat="1" applyFont="1" applyFill="1" applyBorder="1" applyAlignment="1" applyProtection="1">
      <alignment horizontal="left" indent="1"/>
    </xf>
    <xf numFmtId="166" fontId="15" fillId="0" borderId="16" xfId="0" applyNumberFormat="1" applyFont="1" applyFill="1" applyBorder="1" applyAlignment="1" applyProtection="1">
      <alignment horizontal="left" indent="1"/>
    </xf>
    <xf numFmtId="0" fontId="3" fillId="0" borderId="0" xfId="23" applyFont="1"/>
    <xf numFmtId="0" fontId="4" fillId="0" borderId="0" xfId="23" applyFont="1"/>
    <xf numFmtId="0" fontId="1" fillId="0" borderId="0" xfId="23" applyFont="1" applyFill="1" applyAlignment="1">
      <alignment vertical="top"/>
    </xf>
    <xf numFmtId="0" fontId="3" fillId="0" borderId="0" xfId="23" applyFont="1" applyFill="1"/>
    <xf numFmtId="0" fontId="3" fillId="0" borderId="2" xfId="23" applyFont="1" applyBorder="1"/>
    <xf numFmtId="0" fontId="3" fillId="0" borderId="3" xfId="23" applyFont="1" applyBorder="1"/>
    <xf numFmtId="0" fontId="3" fillId="0" borderId="31" xfId="23" applyFont="1" applyBorder="1"/>
    <xf numFmtId="0" fontId="3" fillId="0" borderId="6" xfId="23" applyFont="1" applyBorder="1" applyAlignment="1">
      <alignment horizontal="centerContinuous"/>
    </xf>
    <xf numFmtId="0" fontId="3" fillId="0" borderId="7" xfId="23" applyFont="1" applyBorder="1" applyAlignment="1">
      <alignment horizontal="centerContinuous"/>
    </xf>
    <xf numFmtId="0" fontId="3" fillId="0" borderId="8" xfId="23" applyFont="1" applyBorder="1" applyAlignment="1">
      <alignment horizontal="centerContinuous"/>
    </xf>
    <xf numFmtId="0" fontId="3" fillId="0" borderId="6" xfId="23" applyFont="1" applyBorder="1" applyAlignment="1">
      <alignment horizontal="left"/>
    </xf>
    <xf numFmtId="0" fontId="3" fillId="0" borderId="8" xfId="23" applyFont="1" applyBorder="1" applyAlignment="1">
      <alignment horizontal="left"/>
    </xf>
    <xf numFmtId="3" fontId="3" fillId="4" borderId="6" xfId="23" applyNumberFormat="1" applyFont="1" applyFill="1" applyBorder="1"/>
    <xf numFmtId="164" fontId="3" fillId="0" borderId="7" xfId="23" applyNumberFormat="1" applyFont="1" applyBorder="1"/>
    <xf numFmtId="4" fontId="3" fillId="4" borderId="6" xfId="23" applyNumberFormat="1" applyFont="1" applyFill="1" applyBorder="1"/>
    <xf numFmtId="165" fontId="3" fillId="0" borderId="7" xfId="23" applyNumberFormat="1" applyFont="1" applyBorder="1"/>
    <xf numFmtId="0" fontId="3" fillId="4" borderId="6" xfId="23" applyNumberFormat="1" applyFont="1" applyFill="1" applyBorder="1"/>
    <xf numFmtId="0" fontId="3" fillId="0" borderId="13" xfId="23" applyFont="1" applyBorder="1" applyAlignment="1">
      <alignment horizontal="left"/>
    </xf>
    <xf numFmtId="0" fontId="3" fillId="0" borderId="12" xfId="23" applyFont="1" applyBorder="1" applyAlignment="1">
      <alignment horizontal="left"/>
    </xf>
    <xf numFmtId="3" fontId="3" fillId="4" borderId="13" xfId="23" applyNumberFormat="1" applyFont="1" applyFill="1" applyBorder="1"/>
    <xf numFmtId="164" fontId="3" fillId="0" borderId="24" xfId="23" applyNumberFormat="1" applyFont="1" applyBorder="1"/>
    <xf numFmtId="4" fontId="3" fillId="4" borderId="13" xfId="23" applyNumberFormat="1" applyFont="1" applyFill="1" applyBorder="1"/>
    <xf numFmtId="165" fontId="3" fillId="0" borderId="24" xfId="23" applyNumberFormat="1" applyFont="1" applyBorder="1"/>
    <xf numFmtId="0" fontId="3" fillId="4" borderId="13" xfId="23" applyNumberFormat="1" applyFont="1" applyFill="1" applyBorder="1"/>
    <xf numFmtId="0" fontId="3" fillId="0" borderId="16" xfId="23" applyFont="1" applyBorder="1" applyAlignment="1">
      <alignment horizontal="left"/>
    </xf>
    <xf numFmtId="0" fontId="3" fillId="0" borderId="15" xfId="23" applyFont="1" applyBorder="1" applyAlignment="1">
      <alignment horizontal="left"/>
    </xf>
    <xf numFmtId="3" fontId="3" fillId="4" borderId="16" xfId="23" applyNumberFormat="1" applyFont="1" applyFill="1" applyBorder="1"/>
    <xf numFmtId="164" fontId="3" fillId="0" borderId="25" xfId="23" applyNumberFormat="1" applyFont="1" applyBorder="1"/>
    <xf numFmtId="4" fontId="3" fillId="4" borderId="16" xfId="23" applyNumberFormat="1" applyFont="1" applyFill="1" applyBorder="1"/>
    <xf numFmtId="165" fontId="3" fillId="0" borderId="25" xfId="23" applyNumberFormat="1" applyFont="1" applyBorder="1"/>
    <xf numFmtId="0" fontId="3" fillId="4" borderId="16" xfId="23" applyNumberFormat="1" applyFont="1" applyFill="1" applyBorder="1"/>
    <xf numFmtId="0" fontId="10" fillId="0" borderId="0" xfId="23" applyFont="1" applyFill="1" applyAlignment="1">
      <alignment horizontal="right"/>
    </xf>
    <xf numFmtId="0" fontId="3" fillId="0" borderId="2" xfId="23" applyFont="1" applyBorder="1" applyAlignment="1">
      <alignment horizontal="left"/>
    </xf>
    <xf numFmtId="0" fontId="3" fillId="0" borderId="4" xfId="23" applyFont="1" applyBorder="1" applyAlignment="1"/>
    <xf numFmtId="0" fontId="3" fillId="0" borderId="1" xfId="23" applyFont="1" applyBorder="1"/>
    <xf numFmtId="0" fontId="3" fillId="0" borderId="1" xfId="23" applyFont="1" applyBorder="1" applyAlignment="1">
      <alignment horizontal="left"/>
    </xf>
    <xf numFmtId="0" fontId="3" fillId="0" borderId="4" xfId="23" applyFont="1" applyBorder="1" applyAlignment="1">
      <alignment horizontal="center"/>
    </xf>
    <xf numFmtId="0" fontId="3" fillId="0" borderId="5" xfId="23" applyFont="1" applyBorder="1" applyAlignment="1">
      <alignment horizontal="center"/>
    </xf>
    <xf numFmtId="0" fontId="3" fillId="0" borderId="1" xfId="23" applyFont="1" applyBorder="1" applyAlignment="1">
      <alignment horizontal="center"/>
    </xf>
    <xf numFmtId="164" fontId="3" fillId="0" borderId="6" xfId="23" applyNumberFormat="1" applyFont="1" applyFill="1" applyBorder="1"/>
    <xf numFmtId="164" fontId="3" fillId="0" borderId="11" xfId="23" applyNumberFormat="1" applyFont="1" applyFill="1" applyBorder="1"/>
    <xf numFmtId="174" fontId="3" fillId="0" borderId="6" xfId="23" applyNumberFormat="1" applyFont="1" applyFill="1" applyBorder="1"/>
    <xf numFmtId="165" fontId="3" fillId="0" borderId="11" xfId="23" applyNumberFormat="1" applyFont="1" applyFill="1" applyBorder="1"/>
    <xf numFmtId="164" fontId="3" fillId="0" borderId="8" xfId="23" applyNumberFormat="1" applyFont="1" applyFill="1" applyBorder="1"/>
    <xf numFmtId="165" fontId="3" fillId="0" borderId="11" xfId="23" applyNumberFormat="1" applyFont="1" applyBorder="1"/>
    <xf numFmtId="164" fontId="3" fillId="0" borderId="13" xfId="23" applyNumberFormat="1" applyFont="1" applyFill="1" applyBorder="1"/>
    <xf numFmtId="164" fontId="3" fillId="0" borderId="14" xfId="23" applyNumberFormat="1" applyFont="1" applyFill="1" applyBorder="1"/>
    <xf numFmtId="174" fontId="3" fillId="0" borderId="13" xfId="23" applyNumberFormat="1" applyFont="1" applyFill="1" applyBorder="1"/>
    <xf numFmtId="165" fontId="3" fillId="0" borderId="14" xfId="23" applyNumberFormat="1" applyFont="1" applyFill="1" applyBorder="1"/>
    <xf numFmtId="164" fontId="3" fillId="0" borderId="12" xfId="23" applyNumberFormat="1" applyFont="1" applyFill="1" applyBorder="1"/>
    <xf numFmtId="165" fontId="3" fillId="0" borderId="14" xfId="23" applyNumberFormat="1" applyFont="1" applyBorder="1"/>
    <xf numFmtId="164" fontId="3" fillId="0" borderId="16" xfId="23" applyNumberFormat="1" applyFont="1" applyFill="1" applyBorder="1"/>
    <xf numFmtId="164" fontId="3" fillId="0" borderId="17" xfId="23" applyNumberFormat="1" applyFont="1" applyFill="1" applyBorder="1"/>
    <xf numFmtId="174" fontId="3" fillId="0" borderId="16" xfId="23" applyNumberFormat="1" applyFont="1" applyFill="1" applyBorder="1"/>
    <xf numFmtId="165" fontId="3" fillId="0" borderId="17" xfId="23" applyNumberFormat="1" applyFont="1" applyFill="1" applyBorder="1"/>
    <xf numFmtId="164" fontId="3" fillId="0" borderId="15" xfId="23" applyNumberFormat="1" applyFont="1" applyFill="1" applyBorder="1"/>
    <xf numFmtId="165" fontId="3" fillId="0" borderId="17" xfId="23" applyNumberFormat="1" applyFont="1" applyBorder="1"/>
    <xf numFmtId="166" fontId="3" fillId="0" borderId="4" xfId="23" applyNumberFormat="1" applyFont="1" applyBorder="1" applyAlignment="1" applyProtection="1">
      <alignment horizontal="left" indent="1"/>
    </xf>
    <xf numFmtId="164" fontId="3" fillId="0" borderId="4" xfId="23" applyNumberFormat="1" applyFont="1" applyBorder="1" applyAlignment="1">
      <alignment horizontal="center"/>
    </xf>
    <xf numFmtId="164" fontId="3" fillId="0" borderId="5" xfId="23" applyNumberFormat="1" applyFont="1" applyBorder="1"/>
    <xf numFmtId="165" fontId="3" fillId="0" borderId="5" xfId="23" applyNumberFormat="1" applyFont="1" applyBorder="1"/>
    <xf numFmtId="164" fontId="3" fillId="0" borderId="1" xfId="23" applyNumberFormat="1" applyFont="1" applyBorder="1" applyAlignment="1">
      <alignment horizontal="center"/>
    </xf>
    <xf numFmtId="0" fontId="3" fillId="0" borderId="6" xfId="23" applyNumberFormat="1" applyFont="1" applyFill="1" applyBorder="1"/>
    <xf numFmtId="164" fontId="3" fillId="4" borderId="6" xfId="23" applyNumberFormat="1" applyFont="1" applyFill="1" applyBorder="1"/>
    <xf numFmtId="164" fontId="3" fillId="0" borderId="11" xfId="23" applyNumberFormat="1" applyFont="1" applyBorder="1"/>
    <xf numFmtId="174" fontId="3" fillId="4" borderId="6" xfId="23" applyNumberFormat="1" applyFont="1" applyFill="1" applyBorder="1"/>
    <xf numFmtId="164" fontId="3" fillId="4" borderId="13" xfId="23" applyNumberFormat="1" applyFont="1" applyFill="1" applyBorder="1"/>
    <xf numFmtId="164" fontId="3" fillId="0" borderId="14" xfId="23" applyNumberFormat="1" applyFont="1" applyBorder="1"/>
    <xf numFmtId="174" fontId="3" fillId="4" borderId="13" xfId="23" applyNumberFormat="1" applyFont="1" applyFill="1" applyBorder="1"/>
    <xf numFmtId="0" fontId="3" fillId="4" borderId="19" xfId="23" applyNumberFormat="1" applyFont="1" applyFill="1" applyBorder="1"/>
    <xf numFmtId="0" fontId="3" fillId="0" borderId="18" xfId="23" applyFont="1" applyBorder="1" applyAlignment="1">
      <alignment horizontal="left"/>
    </xf>
    <xf numFmtId="164" fontId="3" fillId="4" borderId="19" xfId="23" applyNumberFormat="1" applyFont="1" applyFill="1" applyBorder="1"/>
    <xf numFmtId="0" fontId="19" fillId="0" borderId="0" xfId="23" applyFont="1"/>
    <xf numFmtId="0" fontId="3" fillId="0" borderId="16" xfId="23" applyNumberFormat="1" applyFont="1" applyFill="1" applyBorder="1"/>
    <xf numFmtId="164" fontId="3" fillId="4" borderId="16" xfId="23" applyNumberFormat="1" applyFont="1" applyFill="1" applyBorder="1"/>
    <xf numFmtId="164" fontId="3" fillId="0" borderId="17" xfId="23" applyNumberFormat="1" applyFont="1" applyBorder="1"/>
    <xf numFmtId="174" fontId="3" fillId="4" borderId="16" xfId="23" applyNumberFormat="1" applyFont="1" applyFill="1" applyBorder="1"/>
    <xf numFmtId="166" fontId="3" fillId="0" borderId="6" xfId="23" applyNumberFormat="1" applyFont="1" applyBorder="1" applyAlignment="1" applyProtection="1">
      <alignment horizontal="left" indent="1"/>
    </xf>
    <xf numFmtId="164" fontId="3" fillId="0" borderId="6" xfId="23" applyNumberFormat="1" applyFont="1" applyBorder="1" applyAlignment="1">
      <alignment horizontal="center"/>
    </xf>
    <xf numFmtId="164" fontId="3" fillId="0" borderId="8" xfId="23" applyNumberFormat="1" applyFont="1" applyBorder="1" applyAlignment="1">
      <alignment horizontal="center"/>
    </xf>
    <xf numFmtId="166" fontId="3" fillId="0" borderId="16" xfId="23" applyNumberFormat="1" applyFont="1" applyBorder="1" applyAlignment="1" applyProtection="1">
      <alignment horizontal="left" indent="1"/>
    </xf>
    <xf numFmtId="164" fontId="3" fillId="0" borderId="16" xfId="23" applyNumberFormat="1" applyFont="1" applyBorder="1" applyAlignment="1">
      <alignment horizontal="center"/>
    </xf>
    <xf numFmtId="164" fontId="3" fillId="4" borderId="17" xfId="23" applyNumberFormat="1" applyFont="1" applyFill="1" applyBorder="1"/>
    <xf numFmtId="165" fontId="3" fillId="4" borderId="17" xfId="23" applyNumberFormat="1" applyFont="1" applyFill="1" applyBorder="1"/>
    <xf numFmtId="164" fontId="3" fillId="0" borderId="15" xfId="23" applyNumberFormat="1" applyFont="1" applyBorder="1" applyAlignment="1">
      <alignment horizontal="center"/>
    </xf>
    <xf numFmtId="0" fontId="3" fillId="0" borderId="2" xfId="23" applyFont="1" applyFill="1" applyBorder="1"/>
    <xf numFmtId="0" fontId="3" fillId="0" borderId="3" xfId="23" applyFont="1" applyFill="1" applyBorder="1"/>
    <xf numFmtId="0" fontId="3" fillId="0" borderId="9" xfId="23" applyFont="1" applyFill="1" applyBorder="1"/>
    <xf numFmtId="166" fontId="11" fillId="0" borderId="21" xfId="23" applyNumberFormat="1" applyFont="1" applyBorder="1" applyAlignment="1">
      <alignment horizontal="left" indent="1"/>
    </xf>
    <xf numFmtId="0" fontId="3" fillId="0" borderId="0" xfId="23" applyFont="1" applyBorder="1"/>
    <xf numFmtId="0" fontId="2" fillId="0" borderId="0" xfId="23" quotePrefix="1" applyFont="1" applyBorder="1" applyAlignment="1">
      <alignment horizontal="left"/>
    </xf>
    <xf numFmtId="164" fontId="3" fillId="0" borderId="0" xfId="23" applyNumberFormat="1" applyFont="1" applyBorder="1"/>
    <xf numFmtId="164" fontId="11" fillId="0" borderId="0" xfId="23" applyNumberFormat="1" applyFont="1" applyBorder="1" applyAlignment="1">
      <alignment horizontal="right"/>
    </xf>
    <xf numFmtId="164" fontId="11" fillId="0" borderId="0" xfId="23" applyNumberFormat="1" applyFont="1" applyBorder="1" applyAlignment="1">
      <alignment horizontal="centerContinuous"/>
    </xf>
    <xf numFmtId="164" fontId="3" fillId="0" borderId="22" xfId="23" quotePrefix="1" applyNumberFormat="1" applyFont="1" applyBorder="1" applyAlignment="1">
      <alignment horizontal="right"/>
    </xf>
    <xf numFmtId="166" fontId="3" fillId="0" borderId="21" xfId="23" applyNumberFormat="1" applyFont="1" applyBorder="1" applyAlignment="1">
      <alignment horizontal="left" indent="1"/>
    </xf>
    <xf numFmtId="0" fontId="3" fillId="0" borderId="0" xfId="23" applyFont="1" applyBorder="1" applyAlignment="1">
      <alignment horizontal="left"/>
    </xf>
    <xf numFmtId="0" fontId="3" fillId="0" borderId="0" xfId="23" applyFont="1" applyFill="1" applyBorder="1"/>
    <xf numFmtId="3" fontId="3" fillId="0" borderId="22" xfId="23" applyNumberFormat="1" applyFont="1" applyBorder="1"/>
    <xf numFmtId="0" fontId="3" fillId="0" borderId="21" xfId="23" quotePrefix="1" applyFont="1" applyBorder="1" applyAlignment="1">
      <alignment horizontal="left" indent="1"/>
    </xf>
    <xf numFmtId="0" fontId="3" fillId="0" borderId="0" xfId="23" quotePrefix="1" applyFont="1" applyBorder="1" applyAlignment="1">
      <alignment horizontal="left"/>
    </xf>
    <xf numFmtId="3" fontId="3" fillId="0" borderId="0" xfId="23" applyNumberFormat="1" applyFont="1" applyBorder="1" applyAlignment="1"/>
    <xf numFmtId="0" fontId="3" fillId="0" borderId="0" xfId="23" applyNumberFormat="1" applyFont="1" applyBorder="1" applyAlignment="1"/>
    <xf numFmtId="0" fontId="3" fillId="4" borderId="0" xfId="23" applyNumberFormat="1" applyFont="1" applyFill="1" applyBorder="1" applyAlignment="1"/>
    <xf numFmtId="0" fontId="3" fillId="0" borderId="0" xfId="23" applyNumberFormat="1" applyFont="1" applyBorder="1"/>
    <xf numFmtId="0" fontId="19" fillId="0" borderId="0" xfId="23" applyNumberFormat="1" applyFont="1" applyFill="1" applyBorder="1" applyAlignment="1"/>
    <xf numFmtId="0" fontId="3" fillId="0" borderId="21" xfId="23" applyFont="1" applyBorder="1" applyAlignment="1">
      <alignment horizontal="left" indent="1"/>
    </xf>
    <xf numFmtId="3" fontId="3" fillId="0" borderId="0" xfId="23" quotePrefix="1" applyNumberFormat="1" applyFont="1" applyBorder="1" applyAlignment="1"/>
    <xf numFmtId="166" fontId="3" fillId="0" borderId="0" xfId="23" quotePrefix="1" applyNumberFormat="1" applyFont="1" applyBorder="1" applyAlignment="1"/>
    <xf numFmtId="0" fontId="3" fillId="0" borderId="26" xfId="23" applyFont="1" applyBorder="1" applyAlignment="1">
      <alignment horizontal="left" indent="1"/>
    </xf>
    <xf numFmtId="0" fontId="3" fillId="0" borderId="20" xfId="23" applyFont="1" applyBorder="1" applyAlignment="1">
      <alignment horizontal="left"/>
    </xf>
    <xf numFmtId="164" fontId="3" fillId="0" borderId="20" xfId="23" applyNumberFormat="1" applyFont="1" applyBorder="1"/>
    <xf numFmtId="0" fontId="3" fillId="0" borderId="20" xfId="23" applyFont="1" applyFill="1" applyBorder="1"/>
    <xf numFmtId="0" fontId="3" fillId="0" borderId="20" xfId="23" quotePrefix="1" applyNumberFormat="1" applyFont="1" applyBorder="1" applyAlignment="1"/>
    <xf numFmtId="0" fontId="3" fillId="0" borderId="20" xfId="23" applyNumberFormat="1" applyFont="1" applyBorder="1" applyAlignment="1"/>
    <xf numFmtId="0" fontId="3" fillId="0" borderId="20" xfId="23" applyNumberFormat="1" applyFont="1" applyBorder="1"/>
    <xf numFmtId="3" fontId="3" fillId="4" borderId="23" xfId="23" applyNumberFormat="1" applyFont="1" applyFill="1" applyBorder="1"/>
    <xf numFmtId="0" fontId="1" fillId="0" borderId="13" xfId="23" quotePrefix="1" applyFont="1" applyBorder="1" applyAlignment="1">
      <alignment horizontal="left" indent="1"/>
    </xf>
    <xf numFmtId="0" fontId="1" fillId="0" borderId="12" xfId="23" quotePrefix="1" applyFont="1" applyBorder="1" applyAlignment="1">
      <alignment horizontal="left"/>
    </xf>
    <xf numFmtId="164" fontId="1" fillId="0" borderId="12" xfId="23" applyNumberFormat="1" applyFont="1" applyBorder="1"/>
    <xf numFmtId="0" fontId="3" fillId="0" borderId="12" xfId="23" applyFont="1" applyFill="1" applyBorder="1"/>
    <xf numFmtId="164" fontId="3" fillId="0" borderId="12" xfId="23" applyNumberFormat="1" applyFont="1" applyBorder="1"/>
    <xf numFmtId="3" fontId="1" fillId="0" borderId="24" xfId="23" applyNumberFormat="1" applyFont="1" applyBorder="1"/>
    <xf numFmtId="164" fontId="3" fillId="0" borderId="4" xfId="23" quotePrefix="1" applyNumberFormat="1" applyFont="1" applyBorder="1" applyAlignment="1">
      <alignment horizontal="left" indent="1"/>
    </xf>
    <xf numFmtId="0" fontId="3" fillId="0" borderId="1" xfId="23" applyFont="1" applyFill="1" applyBorder="1"/>
    <xf numFmtId="164" fontId="3" fillId="0" borderId="1" xfId="23" applyNumberFormat="1" applyFont="1" applyBorder="1"/>
    <xf numFmtId="0" fontId="3" fillId="0" borderId="1" xfId="23" quotePrefix="1" applyFont="1" applyFill="1" applyBorder="1"/>
    <xf numFmtId="3" fontId="3" fillId="0" borderId="10" xfId="23" applyNumberFormat="1" applyFont="1" applyBorder="1" applyAlignment="1"/>
    <xf numFmtId="0" fontId="3" fillId="0" borderId="19" xfId="23" applyNumberFormat="1" applyFont="1" applyFill="1" applyBorder="1"/>
    <xf numFmtId="164" fontId="3" fillId="0" borderId="19" xfId="23" applyNumberFormat="1" applyFont="1" applyFill="1" applyBorder="1"/>
    <xf numFmtId="174" fontId="3" fillId="0" borderId="19" xfId="23" applyNumberFormat="1" applyFont="1" applyFill="1" applyBorder="1"/>
    <xf numFmtId="164" fontId="3" fillId="0" borderId="18" xfId="23" applyNumberFormat="1" applyFont="1" applyFill="1" applyBorder="1"/>
    <xf numFmtId="164" fontId="3" fillId="4" borderId="15" xfId="23" applyNumberFormat="1" applyFont="1" applyFill="1" applyBorder="1"/>
    <xf numFmtId="166" fontId="3" fillId="0" borderId="30" xfId="23" applyNumberFormat="1" applyFont="1" applyBorder="1" applyAlignment="1" applyProtection="1">
      <alignment horizontal="left" indent="1"/>
    </xf>
    <xf numFmtId="0" fontId="3" fillId="0" borderId="31" xfId="23" applyFont="1" applyBorder="1" applyAlignment="1">
      <alignment horizontal="left"/>
    </xf>
    <xf numFmtId="164" fontId="3" fillId="0" borderId="30" xfId="23" applyNumberFormat="1" applyFont="1" applyBorder="1" applyAlignment="1">
      <alignment horizontal="center"/>
    </xf>
    <xf numFmtId="164" fontId="3" fillId="0" borderId="37" xfId="23" applyNumberFormat="1" applyFont="1" applyBorder="1"/>
    <xf numFmtId="165" fontId="3" fillId="0" borderId="37" xfId="23" applyNumberFormat="1" applyFont="1" applyBorder="1"/>
    <xf numFmtId="164" fontId="3" fillId="0" borderId="31" xfId="23" applyNumberFormat="1" applyFont="1" applyBorder="1" applyAlignment="1">
      <alignment horizontal="center"/>
    </xf>
    <xf numFmtId="166" fontId="3" fillId="0" borderId="26" xfId="23" applyNumberFormat="1" applyFont="1" applyBorder="1" applyAlignment="1" applyProtection="1">
      <alignment horizontal="left" indent="1"/>
    </xf>
    <xf numFmtId="164" fontId="3" fillId="0" borderId="26" xfId="23" applyNumberFormat="1" applyFont="1" applyBorder="1" applyAlignment="1">
      <alignment horizontal="center"/>
    </xf>
    <xf numFmtId="164" fontId="3" fillId="0" borderId="35" xfId="23" applyNumberFormat="1" applyFont="1" applyBorder="1"/>
    <xf numFmtId="165" fontId="3" fillId="0" borderId="35" xfId="23" applyNumberFormat="1" applyFont="1" applyBorder="1"/>
    <xf numFmtId="164" fontId="3" fillId="0" borderId="20" xfId="23" applyNumberFormat="1" applyFont="1" applyBorder="1" applyAlignment="1">
      <alignment horizontal="center"/>
    </xf>
    <xf numFmtId="0" fontId="3" fillId="0" borderId="0" xfId="23" applyNumberFormat="1" applyFont="1" applyFill="1" applyBorder="1" applyAlignment="1"/>
    <xf numFmtId="175" fontId="3" fillId="0" borderId="0" xfId="23" quotePrefix="1" applyNumberFormat="1" applyFont="1" applyBorder="1" applyAlignment="1"/>
    <xf numFmtId="165" fontId="3" fillId="4" borderId="0" xfId="23" applyNumberFormat="1" applyFont="1" applyFill="1" applyBorder="1"/>
    <xf numFmtId="3" fontId="3" fillId="0" borderId="0" xfId="23" applyNumberFormat="1" applyFont="1" applyFill="1" applyBorder="1" applyAlignment="1"/>
    <xf numFmtId="0" fontId="3" fillId="4" borderId="0" xfId="23" applyFill="1"/>
    <xf numFmtId="3" fontId="3" fillId="4" borderId="22" xfId="23" applyNumberFormat="1" applyFont="1" applyFill="1" applyBorder="1"/>
    <xf numFmtId="3" fontId="3" fillId="0" borderId="23" xfId="23" applyNumberFormat="1" applyFont="1" applyBorder="1"/>
    <xf numFmtId="164" fontId="10" fillId="0" borderId="21" xfId="23" quotePrefix="1" applyNumberFormat="1" applyFont="1" applyBorder="1" applyAlignment="1">
      <alignment horizontal="left" indent="1"/>
    </xf>
    <xf numFmtId="0" fontId="10" fillId="0" borderId="0" xfId="23" applyFont="1" applyFill="1" applyBorder="1"/>
    <xf numFmtId="164" fontId="10" fillId="0" borderId="0" xfId="23" applyNumberFormat="1" applyFont="1" applyBorder="1"/>
    <xf numFmtId="0" fontId="10" fillId="0" borderId="0" xfId="23" quotePrefix="1" applyFont="1" applyFill="1" applyBorder="1"/>
    <xf numFmtId="3" fontId="10" fillId="0" borderId="22" xfId="23" applyNumberFormat="1" applyFont="1" applyBorder="1" applyAlignment="1"/>
    <xf numFmtId="164" fontId="1" fillId="0" borderId="4" xfId="23" quotePrefix="1" applyNumberFormat="1" applyFont="1" applyBorder="1" applyAlignment="1">
      <alignment horizontal="left" indent="1"/>
    </xf>
    <xf numFmtId="0" fontId="1" fillId="0" borderId="1" xfId="23" applyFont="1" applyFill="1" applyBorder="1"/>
    <xf numFmtId="164" fontId="1" fillId="0" borderId="1" xfId="23" applyNumberFormat="1" applyFont="1" applyBorder="1"/>
    <xf numFmtId="0" fontId="1" fillId="0" borderId="1" xfId="23" quotePrefix="1" applyFont="1" applyFill="1" applyBorder="1"/>
    <xf numFmtId="3" fontId="1" fillId="0" borderId="10" xfId="23" applyNumberFormat="1" applyFont="1" applyBorder="1" applyAlignment="1"/>
    <xf numFmtId="0" fontId="8" fillId="0" borderId="0" xfId="24" applyFont="1" applyFill="1">
      <alignment horizontal="left" vertical="top"/>
    </xf>
    <xf numFmtId="0" fontId="3" fillId="0" borderId="0" xfId="23" applyFill="1"/>
    <xf numFmtId="3" fontId="3" fillId="0" borderId="0" xfId="23" applyNumberFormat="1" applyFont="1" applyFill="1"/>
    <xf numFmtId="0" fontId="11" fillId="0" borderId="0" xfId="23" applyFont="1" applyFill="1"/>
    <xf numFmtId="0" fontId="3" fillId="0" borderId="0" xfId="23"/>
    <xf numFmtId="0" fontId="3" fillId="0" borderId="20" xfId="23" applyFont="1" applyBorder="1"/>
    <xf numFmtId="3" fontId="3" fillId="0" borderId="20" xfId="23" applyNumberFormat="1" applyFont="1" applyBorder="1" applyAlignment="1"/>
    <xf numFmtId="3" fontId="3" fillId="0" borderId="18" xfId="23" applyNumberFormat="1" applyFont="1" applyBorder="1" applyAlignment="1"/>
    <xf numFmtId="4" fontId="3" fillId="0" borderId="20" xfId="11" applyNumberFormat="1" applyFont="1" applyFill="1" applyBorder="1" applyAlignment="1"/>
    <xf numFmtId="0" fontId="1" fillId="0" borderId="0" xfId="23" applyFont="1" applyFill="1" applyBorder="1"/>
    <xf numFmtId="0" fontId="3" fillId="0" borderId="0" xfId="23" applyFill="1" applyAlignment="1"/>
    <xf numFmtId="0" fontId="3" fillId="0" borderId="0" xfId="23" applyFont="1" applyFill="1" applyAlignment="1"/>
    <xf numFmtId="2" fontId="3" fillId="0" borderId="20" xfId="11" applyNumberFormat="1" applyFont="1" applyFill="1" applyBorder="1" applyAlignment="1"/>
    <xf numFmtId="3" fontId="3" fillId="0" borderId="20" xfId="11" applyNumberFormat="1" applyFont="1" applyFill="1" applyBorder="1" applyAlignment="1"/>
    <xf numFmtId="0" fontId="11" fillId="0" borderId="0" xfId="23" applyFont="1"/>
    <xf numFmtId="10" fontId="3" fillId="0" borderId="0" xfId="11" applyNumberFormat="1" applyFont="1" applyFill="1" applyAlignment="1"/>
    <xf numFmtId="10" fontId="3" fillId="0" borderId="18" xfId="23" applyNumberFormat="1" applyFont="1" applyFill="1" applyBorder="1" applyAlignment="1"/>
    <xf numFmtId="0" fontId="10" fillId="0" borderId="0" xfId="23" applyFont="1"/>
    <xf numFmtId="0" fontId="10" fillId="0" borderId="0" xfId="23" applyFont="1" applyFill="1"/>
    <xf numFmtId="3" fontId="10" fillId="0" borderId="0" xfId="23" applyNumberFormat="1" applyFont="1" applyBorder="1" applyAlignment="1"/>
    <xf numFmtId="2" fontId="3" fillId="0" borderId="0" xfId="23" applyNumberFormat="1" applyFont="1" applyFill="1"/>
    <xf numFmtId="3" fontId="3" fillId="4" borderId="0" xfId="23" applyNumberFormat="1" applyFont="1" applyFill="1" applyBorder="1" applyAlignment="1"/>
    <xf numFmtId="0" fontId="19" fillId="0" borderId="0" xfId="23" applyFont="1" applyFill="1"/>
    <xf numFmtId="9" fontId="3" fillId="4" borderId="0" xfId="23" applyNumberFormat="1" applyFont="1" applyFill="1" applyBorder="1" applyAlignment="1"/>
    <xf numFmtId="9" fontId="3" fillId="0" borderId="0" xfId="23" applyNumberFormat="1" applyFont="1" applyFill="1" applyBorder="1" applyAlignment="1"/>
    <xf numFmtId="0" fontId="3" fillId="0" borderId="0" xfId="23" quotePrefix="1" applyFill="1"/>
    <xf numFmtId="9" fontId="3" fillId="4" borderId="0" xfId="23" applyNumberFormat="1" applyFont="1" applyFill="1" applyBorder="1" applyAlignment="1">
      <alignment horizontal="left"/>
    </xf>
    <xf numFmtId="9" fontId="3" fillId="0" borderId="0" xfId="23" applyNumberFormat="1" applyFont="1" applyFill="1" applyBorder="1" applyAlignment="1">
      <alignment horizontal="left"/>
    </xf>
    <xf numFmtId="0" fontId="10" fillId="0" borderId="2" xfId="23" applyFont="1" applyFill="1" applyBorder="1" applyAlignment="1">
      <alignment horizontal="center"/>
    </xf>
    <xf numFmtId="0" fontId="10" fillId="0" borderId="6" xfId="23" applyFont="1" applyFill="1" applyBorder="1" applyAlignment="1">
      <alignment horizontal="centerContinuous"/>
    </xf>
    <xf numFmtId="0" fontId="10" fillId="0" borderId="8" xfId="23" applyFont="1" applyFill="1" applyBorder="1" applyAlignment="1">
      <alignment horizontal="centerContinuous"/>
    </xf>
    <xf numFmtId="0" fontId="10" fillId="0" borderId="7" xfId="23" applyFont="1" applyFill="1" applyBorder="1" applyAlignment="1">
      <alignment horizontal="centerContinuous"/>
    </xf>
    <xf numFmtId="0" fontId="10" fillId="0" borderId="21" xfId="23" applyFont="1" applyFill="1" applyBorder="1" applyAlignment="1">
      <alignment horizontal="center"/>
    </xf>
    <xf numFmtId="0" fontId="10" fillId="0" borderId="27" xfId="23" applyFont="1" applyFill="1" applyBorder="1" applyAlignment="1">
      <alignment horizontal="center"/>
    </xf>
    <xf numFmtId="0" fontId="10" fillId="0" borderId="28" xfId="23" applyFont="1" applyFill="1" applyBorder="1" applyAlignment="1">
      <alignment horizontal="center"/>
    </xf>
    <xf numFmtId="0" fontId="3" fillId="0" borderId="2" xfId="23" applyFill="1" applyBorder="1"/>
    <xf numFmtId="0" fontId="1" fillId="0" borderId="3" xfId="23" applyFont="1" applyFill="1" applyBorder="1" applyAlignment="1">
      <alignment horizontal="left"/>
    </xf>
    <xf numFmtId="0" fontId="3" fillId="0" borderId="3" xfId="23" applyFill="1" applyBorder="1"/>
    <xf numFmtId="3" fontId="14" fillId="0" borderId="2" xfId="23" applyNumberFormat="1" applyFont="1" applyFill="1" applyBorder="1"/>
    <xf numFmtId="3" fontId="18" fillId="0" borderId="2" xfId="23" applyNumberFormat="1" applyFont="1" applyFill="1" applyBorder="1"/>
    <xf numFmtId="3" fontId="14" fillId="0" borderId="33" xfId="23" applyNumberFormat="1" applyFont="1" applyFill="1" applyBorder="1"/>
    <xf numFmtId="3" fontId="14" fillId="0" borderId="34" xfId="23" applyNumberFormat="1" applyFont="1" applyFill="1" applyBorder="1"/>
    <xf numFmtId="0" fontId="3" fillId="0" borderId="21" xfId="23" applyFont="1" applyFill="1" applyBorder="1" applyAlignment="1">
      <alignment horizontal="center"/>
    </xf>
    <xf numFmtId="0" fontId="3" fillId="0" borderId="0" xfId="23" applyFont="1" applyFill="1" applyBorder="1" applyAlignment="1">
      <alignment horizontal="left"/>
    </xf>
    <xf numFmtId="0" fontId="3" fillId="0" borderId="0" xfId="23" applyFill="1" applyBorder="1"/>
    <xf numFmtId="3" fontId="14" fillId="0" borderId="21" xfId="23" applyNumberFormat="1" applyFont="1" applyFill="1" applyBorder="1"/>
    <xf numFmtId="3" fontId="18" fillId="0" borderId="21" xfId="23" applyNumberFormat="1" applyFont="1" applyFill="1" applyBorder="1"/>
    <xf numFmtId="3" fontId="14" fillId="0" borderId="27" xfId="23" applyNumberFormat="1" applyFont="1" applyFill="1" applyBorder="1"/>
    <xf numFmtId="3" fontId="14" fillId="0" borderId="28" xfId="23" applyNumberFormat="1" applyFont="1" applyFill="1" applyBorder="1"/>
    <xf numFmtId="0" fontId="3" fillId="0" borderId="21" xfId="23" applyFill="1" applyBorder="1" applyAlignment="1">
      <alignment horizontal="center"/>
    </xf>
    <xf numFmtId="0" fontId="3" fillId="0" borderId="0" xfId="23" applyBorder="1"/>
    <xf numFmtId="0" fontId="10" fillId="0" borderId="0" xfId="23" applyFont="1" applyFill="1" applyBorder="1" applyAlignment="1">
      <alignment horizontal="right"/>
    </xf>
    <xf numFmtId="3" fontId="10" fillId="0" borderId="21" xfId="23" applyNumberFormat="1" applyFont="1" applyFill="1" applyBorder="1"/>
    <xf numFmtId="3" fontId="13" fillId="0" borderId="21" xfId="23" applyNumberFormat="1" applyFont="1" applyFill="1" applyBorder="1"/>
    <xf numFmtId="3" fontId="10" fillId="0" borderId="27" xfId="23" applyNumberFormat="1" applyFont="1" applyFill="1" applyBorder="1"/>
    <xf numFmtId="3" fontId="10" fillId="0" borderId="28" xfId="23" applyNumberFormat="1" applyFont="1" applyFill="1" applyBorder="1"/>
    <xf numFmtId="0" fontId="3" fillId="0" borderId="26" xfId="23" applyFill="1" applyBorder="1" applyAlignment="1">
      <alignment horizontal="center"/>
    </xf>
    <xf numFmtId="0" fontId="1" fillId="0" borderId="20" xfId="23" applyFont="1" applyBorder="1"/>
    <xf numFmtId="0" fontId="3" fillId="0" borderId="20" xfId="23" applyFill="1" applyBorder="1"/>
    <xf numFmtId="3" fontId="14" fillId="0" borderId="26" xfId="23" applyNumberFormat="1" applyFont="1" applyFill="1" applyBorder="1"/>
    <xf numFmtId="3" fontId="18" fillId="0" borderId="26" xfId="23" applyNumberFormat="1" applyFont="1" applyFill="1" applyBorder="1"/>
    <xf numFmtId="3" fontId="14" fillId="0" borderId="29" xfId="23" applyNumberFormat="1" applyFont="1" applyFill="1" applyBorder="1"/>
    <xf numFmtId="3" fontId="14" fillId="0" borderId="35" xfId="23" applyNumberFormat="1" applyFont="1" applyFill="1" applyBorder="1"/>
    <xf numFmtId="0" fontId="3" fillId="0" borderId="4" xfId="23" applyFill="1" applyBorder="1" applyAlignment="1">
      <alignment horizontal="center"/>
    </xf>
    <xf numFmtId="0" fontId="3" fillId="0" borderId="1" xfId="23" applyFill="1" applyBorder="1"/>
    <xf numFmtId="3" fontId="14" fillId="0" borderId="4" xfId="23" applyNumberFormat="1" applyFont="1" applyFill="1" applyBorder="1"/>
    <xf numFmtId="3" fontId="18" fillId="0" borderId="4" xfId="23" applyNumberFormat="1" applyFont="1" applyFill="1" applyBorder="1"/>
    <xf numFmtId="3" fontId="14" fillId="0" borderId="36" xfId="23" applyNumberFormat="1" applyFont="1" applyFill="1" applyBorder="1"/>
    <xf numFmtId="3" fontId="14" fillId="0" borderId="5" xfId="23" applyNumberFormat="1" applyFont="1" applyFill="1" applyBorder="1"/>
    <xf numFmtId="3" fontId="10" fillId="0" borderId="0" xfId="23" applyNumberFormat="1" applyFont="1" applyFill="1"/>
    <xf numFmtId="0" fontId="3" fillId="0" borderId="30" xfId="23" applyFill="1" applyBorder="1"/>
    <xf numFmtId="0" fontId="3" fillId="0" borderId="31" xfId="23" applyBorder="1"/>
    <xf numFmtId="0" fontId="3" fillId="0" borderId="31" xfId="23" applyFill="1" applyBorder="1"/>
    <xf numFmtId="0" fontId="10" fillId="0" borderId="31" xfId="23" applyFont="1" applyFill="1" applyBorder="1"/>
    <xf numFmtId="0" fontId="13" fillId="0" borderId="31" xfId="23" applyFont="1" applyFill="1" applyBorder="1" applyAlignment="1">
      <alignment horizontal="right"/>
    </xf>
    <xf numFmtId="3" fontId="13" fillId="0" borderId="32" xfId="23" applyNumberFormat="1" applyFont="1" applyFill="1" applyBorder="1"/>
    <xf numFmtId="0" fontId="3" fillId="0" borderId="40" xfId="23" applyFill="1" applyBorder="1"/>
    <xf numFmtId="0" fontId="10" fillId="0" borderId="42" xfId="23" applyFont="1" applyFill="1" applyBorder="1" applyAlignment="1">
      <alignment horizontal="centerContinuous"/>
    </xf>
    <xf numFmtId="0" fontId="10" fillId="0" borderId="43" xfId="23" applyFont="1" applyFill="1" applyBorder="1" applyAlignment="1">
      <alignment horizontal="centerContinuous"/>
    </xf>
    <xf numFmtId="0" fontId="20" fillId="0" borderId="0" xfId="23" applyFont="1" applyFill="1" applyBorder="1"/>
    <xf numFmtId="0" fontId="3" fillId="0" borderId="42" xfId="23" applyFill="1" applyBorder="1"/>
    <xf numFmtId="0" fontId="3" fillId="0" borderId="43" xfId="23" applyFill="1" applyBorder="1"/>
    <xf numFmtId="0" fontId="10" fillId="0" borderId="27" xfId="23" quotePrefix="1" applyFont="1" applyFill="1" applyBorder="1" applyAlignment="1">
      <alignment horizontal="right"/>
    </xf>
    <xf numFmtId="0" fontId="10" fillId="0" borderId="40" xfId="23" applyFont="1" applyFill="1" applyBorder="1"/>
    <xf numFmtId="3" fontId="10" fillId="0" borderId="40" xfId="23" applyNumberFormat="1" applyFont="1" applyFill="1" applyBorder="1"/>
    <xf numFmtId="0" fontId="10" fillId="0" borderId="29" xfId="23" quotePrefix="1" applyFont="1" applyFill="1" applyBorder="1" applyAlignment="1">
      <alignment horizontal="right"/>
    </xf>
    <xf numFmtId="0" fontId="10" fillId="0" borderId="41" xfId="23" applyFont="1" applyFill="1" applyBorder="1"/>
    <xf numFmtId="3" fontId="10" fillId="0" borderId="29" xfId="23" applyNumberFormat="1" applyFont="1" applyFill="1" applyBorder="1"/>
    <xf numFmtId="3" fontId="10" fillId="0" borderId="41" xfId="23" applyNumberFormat="1" applyFont="1" applyFill="1" applyBorder="1"/>
    <xf numFmtId="0" fontId="3" fillId="0" borderId="12" xfId="23" applyFill="1" applyBorder="1"/>
    <xf numFmtId="0" fontId="10" fillId="0" borderId="39" xfId="23" quotePrefix="1" applyFont="1" applyFill="1" applyBorder="1" applyAlignment="1">
      <alignment horizontal="right"/>
    </xf>
    <xf numFmtId="0" fontId="10" fillId="0" borderId="38" xfId="23" applyFont="1" applyFill="1" applyBorder="1"/>
    <xf numFmtId="3" fontId="10" fillId="0" borderId="39" xfId="23" applyNumberFormat="1" applyFont="1" applyFill="1" applyBorder="1"/>
    <xf numFmtId="3" fontId="10" fillId="0" borderId="38" xfId="23" applyNumberFormat="1" applyFont="1" applyFill="1" applyBorder="1"/>
    <xf numFmtId="0" fontId="3" fillId="0" borderId="18" xfId="23" applyFill="1" applyBorder="1"/>
    <xf numFmtId="0" fontId="10" fillId="0" borderId="42" xfId="23" applyFont="1" applyFill="1" applyBorder="1"/>
    <xf numFmtId="0" fontId="10" fillId="0" borderId="43" xfId="23" applyFont="1" applyFill="1" applyBorder="1"/>
    <xf numFmtId="0" fontId="10" fillId="0" borderId="27" xfId="23" applyFont="1" applyFill="1" applyBorder="1"/>
    <xf numFmtId="0" fontId="10" fillId="0" borderId="29" xfId="23" applyFont="1" applyFill="1" applyBorder="1"/>
    <xf numFmtId="0" fontId="3" fillId="0" borderId="0" xfId="23" applyFont="1" applyAlignment="1">
      <alignment horizontal="center"/>
    </xf>
    <xf numFmtId="0" fontId="3" fillId="0" borderId="20" xfId="23" applyFont="1" applyBorder="1" applyAlignment="1">
      <alignment horizontal="center"/>
    </xf>
    <xf numFmtId="0" fontId="1" fillId="0" borderId="0" xfId="23" applyFont="1" applyFill="1" applyBorder="1" applyAlignment="1">
      <alignment horizontal="center"/>
    </xf>
    <xf numFmtId="164" fontId="1" fillId="0" borderId="12" xfId="0" applyNumberFormat="1" applyFont="1" applyFill="1" applyBorder="1" applyAlignment="1"/>
    <xf numFmtId="0" fontId="3" fillId="0" borderId="20" xfId="0" applyFont="1" applyFill="1" applyBorder="1" applyAlignment="1"/>
    <xf numFmtId="164" fontId="3" fillId="0" borderId="20" xfId="0" applyNumberFormat="1" applyFont="1" applyFill="1" applyBorder="1" applyAlignment="1"/>
    <xf numFmtId="3" fontId="3" fillId="0" borderId="20" xfId="0" applyNumberFormat="1" applyFont="1" applyFill="1" applyBorder="1" applyAlignment="1"/>
    <xf numFmtId="0" fontId="3" fillId="0" borderId="12" xfId="0" quotePrefix="1" applyFont="1" applyFill="1" applyBorder="1" applyAlignment="1"/>
    <xf numFmtId="0" fontId="3" fillId="0" borderId="12" xfId="0" applyFont="1" applyFill="1" applyBorder="1" applyAlignment="1"/>
    <xf numFmtId="0" fontId="3" fillId="0" borderId="15" xfId="0" applyFont="1" applyFill="1" applyBorder="1" applyAlignment="1"/>
    <xf numFmtId="164" fontId="3" fillId="0" borderId="15" xfId="0" applyNumberFormat="1" applyFont="1" applyFill="1" applyBorder="1" applyAlignment="1"/>
    <xf numFmtId="0" fontId="3" fillId="0" borderId="15" xfId="0" quotePrefix="1" applyFont="1" applyFill="1" applyBorder="1" applyAlignment="1"/>
    <xf numFmtId="3" fontId="3" fillId="0" borderId="23" xfId="0" applyNumberFormat="1" applyFont="1" applyFill="1" applyBorder="1" applyAlignment="1"/>
    <xf numFmtId="3" fontId="3" fillId="0" borderId="24" xfId="0" applyNumberFormat="1" applyFont="1" applyFill="1" applyBorder="1" applyAlignment="1"/>
    <xf numFmtId="3" fontId="3" fillId="0" borderId="25" xfId="0" applyNumberFormat="1" applyFont="1" applyFill="1" applyBorder="1" applyAlignment="1"/>
    <xf numFmtId="49" fontId="3" fillId="0" borderId="26" xfId="0" quotePrefix="1" applyNumberFormat="1" applyFont="1" applyFill="1" applyBorder="1" applyAlignment="1"/>
    <xf numFmtId="49" fontId="3" fillId="0" borderId="20" xfId="0" applyNumberFormat="1" applyFont="1" applyFill="1" applyBorder="1" applyAlignment="1"/>
    <xf numFmtId="49" fontId="3" fillId="0" borderId="13" xfId="0" quotePrefix="1" applyNumberFormat="1" applyFont="1" applyFill="1" applyBorder="1" applyAlignment="1"/>
    <xf numFmtId="49" fontId="3" fillId="0" borderId="12" xfId="0" quotePrefix="1" applyNumberFormat="1" applyFont="1" applyFill="1" applyBorder="1" applyAlignment="1"/>
    <xf numFmtId="49" fontId="3" fillId="0" borderId="13" xfId="0" applyNumberFormat="1" applyFont="1" applyFill="1" applyBorder="1" applyAlignment="1"/>
    <xf numFmtId="49" fontId="3" fillId="0" borderId="12" xfId="0" applyNumberFormat="1" applyFont="1" applyFill="1" applyBorder="1" applyAlignment="1"/>
    <xf numFmtId="49" fontId="3" fillId="0" borderId="16" xfId="0" quotePrefix="1" applyNumberFormat="1" applyFont="1" applyFill="1" applyBorder="1" applyAlignment="1"/>
    <xf numFmtId="49" fontId="3" fillId="0" borderId="15" xfId="0" applyNumberFormat="1" applyFont="1" applyFill="1" applyBorder="1" applyAlignment="1"/>
    <xf numFmtId="0" fontId="1" fillId="0" borderId="12" xfId="0" quotePrefix="1" applyFont="1" applyFill="1" applyBorder="1" applyAlignment="1"/>
    <xf numFmtId="3" fontId="1" fillId="0" borderId="12" xfId="0" applyNumberFormat="1" applyFont="1" applyFill="1" applyBorder="1" applyAlignment="1"/>
    <xf numFmtId="49" fontId="3" fillId="0" borderId="26" xfId="0" applyNumberFormat="1" applyFont="1" applyFill="1" applyBorder="1" applyAlignment="1"/>
    <xf numFmtId="49" fontId="1" fillId="0" borderId="13" xfId="0" quotePrefix="1" applyNumberFormat="1" applyFont="1" applyFill="1" applyBorder="1" applyAlignment="1"/>
    <xf numFmtId="49" fontId="1" fillId="0" borderId="12" xfId="0" quotePrefix="1" applyNumberFormat="1" applyFont="1" applyFill="1" applyBorder="1" applyAlignment="1"/>
    <xf numFmtId="0" fontId="3" fillId="0" borderId="20" xfId="0" applyNumberFormat="1" applyFont="1" applyFill="1" applyBorder="1" applyAlignment="1"/>
    <xf numFmtId="0" fontId="3" fillId="0" borderId="15" xfId="0" applyNumberFormat="1" applyFont="1" applyFill="1" applyBorder="1" applyAlignment="1"/>
    <xf numFmtId="0" fontId="3" fillId="0" borderId="15" xfId="0" quotePrefix="1" applyNumberFormat="1" applyFont="1" applyFill="1" applyBorder="1" applyAlignment="1"/>
  </cellXfs>
  <cellStyles count="25">
    <cellStyle name="AAbstand" xfId="1"/>
    <cellStyle name="Abs15" xfId="2"/>
    <cellStyle name="Dez0" xfId="3"/>
    <cellStyle name="Dez1" xfId="4"/>
    <cellStyle name="Dez2" xfId="5"/>
    <cellStyle name="Dez3" xfId="6"/>
    <cellStyle name="DlgBackground" xfId="7"/>
    <cellStyle name="Edit" xfId="8"/>
    <cellStyle name="Euro" xfId="9"/>
    <cellStyle name="LookUpText" xfId="10"/>
    <cellStyle name="Prozent" xfId="11" builtinId="5"/>
    <cellStyle name="Shaded" xfId="12"/>
    <cellStyle name="Standard" xfId="0" builtinId="0"/>
    <cellStyle name="Standard 2" xfId="23"/>
    <cellStyle name="Standard_Über" xfId="13"/>
    <cellStyle name="TabFont" xfId="14"/>
    <cellStyle name="Titel" xfId="15"/>
    <cellStyle name="Ueb1" xfId="16"/>
    <cellStyle name="Ueb2" xfId="17"/>
    <cellStyle name="Ueb3" xfId="18"/>
    <cellStyle name="Ueb3 2" xfId="24"/>
    <cellStyle name="Ueb4" xfId="19"/>
    <cellStyle name="VarDez1" xfId="20"/>
    <cellStyle name="VarDez2" xfId="21"/>
    <cellStyle name="VarDez2+" xfId="2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FF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380752598800693E-2"/>
          <c:y val="3.3613514339700834E-2"/>
          <c:w val="0.90693889286381146"/>
          <c:h val="0.83613616920005829"/>
        </c:manualLayout>
      </c:layout>
      <c:lineChart>
        <c:grouping val="standard"/>
        <c:varyColors val="0"/>
        <c:ser>
          <c:idx val="1"/>
          <c:order val="0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OptInvest!$C$5:$N$5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E-4916-AB56-8244A6DF2BA7}"/>
            </c:ext>
          </c:extLst>
        </c:ser>
        <c:ser>
          <c:idx val="2"/>
          <c:order val="1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OptInvest!$C$6:$N$6</c:f>
              <c:numCache>
                <c:formatCode>General</c:formatCode>
                <c:ptCount val="12"/>
                <c:pt idx="0">
                  <c:v>100</c:v>
                </c:pt>
                <c:pt idx="1">
                  <c:v>105</c:v>
                </c:pt>
                <c:pt idx="2">
                  <c:v>109</c:v>
                </c:pt>
                <c:pt idx="3">
                  <c:v>112</c:v>
                </c:pt>
                <c:pt idx="4">
                  <c:v>112</c:v>
                </c:pt>
                <c:pt idx="5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E-4916-AB56-8244A6DF2BA7}"/>
            </c:ext>
          </c:extLst>
        </c:ser>
        <c:ser>
          <c:idx val="4"/>
          <c:order val="2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OptInvest!$C$8:$N$8</c:f>
              <c:numCache>
                <c:formatCode>General</c:formatCode>
                <c:ptCount val="12"/>
                <c:pt idx="0">
                  <c:v>100</c:v>
                </c:pt>
                <c:pt idx="1">
                  <c:v>111</c:v>
                </c:pt>
                <c:pt idx="2">
                  <c:v>120</c:v>
                </c:pt>
                <c:pt idx="3">
                  <c:v>126</c:v>
                </c:pt>
                <c:pt idx="4">
                  <c:v>128</c:v>
                </c:pt>
                <c:pt idx="5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9E-4916-AB56-8244A6DF2BA7}"/>
            </c:ext>
          </c:extLst>
        </c:ser>
        <c:ser>
          <c:idx val="6"/>
          <c:order val="3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OptInvest!$C$9:$N$9</c:f>
              <c:numCache>
                <c:formatCode>General</c:formatCode>
                <c:ptCount val="12"/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9E-4916-AB56-8244A6DF2BA7}"/>
            </c:ext>
          </c:extLst>
        </c:ser>
        <c:ser>
          <c:idx val="7"/>
          <c:order val="4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OptInvest!$C$10:$N$10</c:f>
              <c:numCache>
                <c:formatCode>General</c:formatCode>
                <c:ptCount val="12"/>
                <c:pt idx="5">
                  <c:v>112</c:v>
                </c:pt>
                <c:pt idx="6">
                  <c:v>112</c:v>
                </c:pt>
                <c:pt idx="7">
                  <c:v>112</c:v>
                </c:pt>
                <c:pt idx="8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9E-4916-AB56-8244A6DF2BA7}"/>
            </c:ext>
          </c:extLst>
        </c:ser>
        <c:ser>
          <c:idx val="9"/>
          <c:order val="5"/>
          <c:spPr>
            <a:ln w="3175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OptInvest!$C$4:$N$4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 formatCode="#,##0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OptInvest!$C$12:$N$12</c:f>
              <c:numCache>
                <c:formatCode>General</c:formatCode>
                <c:ptCount val="12"/>
                <c:pt idx="5">
                  <c:v>128</c:v>
                </c:pt>
                <c:pt idx="6">
                  <c:v>128</c:v>
                </c:pt>
                <c:pt idx="7">
                  <c:v>128</c:v>
                </c:pt>
                <c:pt idx="8">
                  <c:v>128</c:v>
                </c:pt>
                <c:pt idx="9">
                  <c:v>128</c:v>
                </c:pt>
                <c:pt idx="10">
                  <c:v>128</c:v>
                </c:pt>
                <c:pt idx="11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9E-4916-AB56-8244A6DF2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6067664"/>
        <c:axId val="1"/>
      </c:lineChart>
      <c:catAx>
        <c:axId val="726067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5"/>
          <c:min val="90"/>
        </c:scaling>
        <c:delete val="0"/>
        <c:axPos val="l"/>
        <c:numFmt formatCode=";;;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260676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Seite &amp;S</c:oddFooter>
    </c:headerFooter>
    <c:pageMargins b="0.984251969" l="0.78740157499999996" r="0.78740157499999996" t="0.984251969" header="0.4921259845" footer="0.492125984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</xdr:colOff>
      <xdr:row>16</xdr:row>
      <xdr:rowOff>63500</xdr:rowOff>
    </xdr:from>
    <xdr:to>
      <xdr:col>15</xdr:col>
      <xdr:colOff>171450</xdr:colOff>
      <xdr:row>28</xdr:row>
      <xdr:rowOff>158750</xdr:rowOff>
    </xdr:to>
    <xdr:graphicFrame macro="">
      <xdr:nvGraphicFramePr>
        <xdr:cNvPr id="219487" name="Diagramm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346075</xdr:colOff>
      <xdr:row>17</xdr:row>
      <xdr:rowOff>114300</xdr:rowOff>
    </xdr:from>
    <xdr:to>
      <xdr:col>10</xdr:col>
      <xdr:colOff>400062</xdr:colOff>
      <xdr:row>18</xdr:row>
      <xdr:rowOff>76200</xdr:rowOff>
    </xdr:to>
    <xdr:sp macro="" textlink="">
      <xdr:nvSpPr>
        <xdr:cNvPr id="7201" name="Text 3"/>
        <xdr:cNvSpPr txBox="1">
          <a:spLocks noChangeArrowheads="1"/>
        </xdr:cNvSpPr>
      </xdr:nvSpPr>
      <xdr:spPr bwMode="auto">
        <a:xfrm>
          <a:off x="2628900" y="2886075"/>
          <a:ext cx="1647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ZIEL: Optimierung + Investition</a:t>
          </a:r>
          <a:endParaRPr lang="de-DE"/>
        </a:p>
      </xdr:txBody>
    </xdr:sp>
    <xdr:clientData/>
  </xdr:twoCellAnchor>
  <xdr:twoCellAnchor editAs="oneCell">
    <xdr:from>
      <xdr:col>6</xdr:col>
      <xdr:colOff>346075</xdr:colOff>
      <xdr:row>21</xdr:row>
      <xdr:rowOff>60325</xdr:rowOff>
    </xdr:from>
    <xdr:to>
      <xdr:col>10</xdr:col>
      <xdr:colOff>85725</xdr:colOff>
      <xdr:row>22</xdr:row>
      <xdr:rowOff>38238</xdr:rowOff>
    </xdr:to>
    <xdr:sp macro="" textlink="">
      <xdr:nvSpPr>
        <xdr:cNvPr id="7202" name="Text 4"/>
        <xdr:cNvSpPr txBox="1">
          <a:spLocks noChangeArrowheads="1"/>
        </xdr:cNvSpPr>
      </xdr:nvSpPr>
      <xdr:spPr bwMode="auto">
        <a:xfrm>
          <a:off x="2628900" y="3562350"/>
          <a:ext cx="1352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Opt.-Ist: Optimierung</a:t>
          </a:r>
          <a:endParaRPr lang="de-DE"/>
        </a:p>
      </xdr:txBody>
    </xdr:sp>
    <xdr:clientData/>
  </xdr:twoCellAnchor>
  <xdr:twoCellAnchor editAs="oneCell">
    <xdr:from>
      <xdr:col>6</xdr:col>
      <xdr:colOff>346075</xdr:colOff>
      <xdr:row>24</xdr:row>
      <xdr:rowOff>38100</xdr:rowOff>
    </xdr:from>
    <xdr:to>
      <xdr:col>9</xdr:col>
      <xdr:colOff>288925</xdr:colOff>
      <xdr:row>25</xdr:row>
      <xdr:rowOff>3307</xdr:rowOff>
    </xdr:to>
    <xdr:sp macro="" textlink="">
      <xdr:nvSpPr>
        <xdr:cNvPr id="7203" name="Text 6"/>
        <xdr:cNvSpPr txBox="1">
          <a:spLocks noChangeArrowheads="1"/>
        </xdr:cNvSpPr>
      </xdr:nvSpPr>
      <xdr:spPr bwMode="auto">
        <a:xfrm>
          <a:off x="2628900" y="4076700"/>
          <a:ext cx="11430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IST: keine Maßnahmen</a:t>
          </a:r>
          <a:endParaRPr lang="de-DE"/>
        </a:p>
      </xdr:txBody>
    </xdr:sp>
    <xdr:clientData/>
  </xdr:twoCellAnchor>
  <xdr:twoCellAnchor editAs="oneCell">
    <xdr:from>
      <xdr:col>4</xdr:col>
      <xdr:colOff>123825</xdr:colOff>
      <xdr:row>17</xdr:row>
      <xdr:rowOff>114300</xdr:rowOff>
    </xdr:from>
    <xdr:to>
      <xdr:col>6</xdr:col>
      <xdr:colOff>28575</xdr:colOff>
      <xdr:row>18</xdr:row>
      <xdr:rowOff>98543</xdr:rowOff>
    </xdr:to>
    <xdr:sp macro="" textlink="">
      <xdr:nvSpPr>
        <xdr:cNvPr id="7204" name="Text 47"/>
        <xdr:cNvSpPr txBox="1">
          <a:spLocks noChangeArrowheads="1"/>
        </xdr:cNvSpPr>
      </xdr:nvSpPr>
      <xdr:spPr bwMode="auto">
        <a:xfrm>
          <a:off x="1619250" y="2886075"/>
          <a:ext cx="704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Erfolg bei:</a:t>
          </a:r>
          <a:endParaRPr lang="de-DE"/>
        </a:p>
      </xdr:txBody>
    </xdr:sp>
    <xdr:clientData/>
  </xdr:twoCellAnchor>
  <xdr:twoCellAnchor editAs="oneCell">
    <xdr:from>
      <xdr:col>9</xdr:col>
      <xdr:colOff>438150</xdr:colOff>
      <xdr:row>17</xdr:row>
      <xdr:rowOff>57150</xdr:rowOff>
    </xdr:from>
    <xdr:to>
      <xdr:col>14</xdr:col>
      <xdr:colOff>123825</xdr:colOff>
      <xdr:row>27</xdr:row>
      <xdr:rowOff>0</xdr:rowOff>
    </xdr:to>
    <xdr:sp macro="" textlink="">
      <xdr:nvSpPr>
        <xdr:cNvPr id="7205" name="Text 19"/>
        <xdr:cNvSpPr txBox="1">
          <a:spLocks noChangeArrowheads="1"/>
        </xdr:cNvSpPr>
      </xdr:nvSpPr>
      <xdr:spPr bwMode="auto">
        <a:xfrm>
          <a:off x="3895725" y="2828925"/>
          <a:ext cx="1724025" cy="1752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de-DE"/>
        </a:p>
      </xdr:txBody>
    </xdr:sp>
    <xdr:clientData/>
  </xdr:twoCellAnchor>
  <xdr:twoCellAnchor editAs="oneCell">
    <xdr:from>
      <xdr:col>10</xdr:col>
      <xdr:colOff>0</xdr:colOff>
      <xdr:row>17</xdr:row>
      <xdr:rowOff>57150</xdr:rowOff>
    </xdr:from>
    <xdr:to>
      <xdr:col>14</xdr:col>
      <xdr:colOff>123825</xdr:colOff>
      <xdr:row>18</xdr:row>
      <xdr:rowOff>22357</xdr:rowOff>
    </xdr:to>
    <xdr:sp macro="" textlink="">
      <xdr:nvSpPr>
        <xdr:cNvPr id="7206" name="Text 11"/>
        <xdr:cNvSpPr txBox="1">
          <a:spLocks noChangeArrowheads="1"/>
        </xdr:cNvSpPr>
      </xdr:nvSpPr>
      <xdr:spPr bwMode="auto">
        <a:xfrm>
          <a:off x="3895725" y="2828925"/>
          <a:ext cx="1724025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RICHTIG</a:t>
          </a:r>
          <a:endParaRPr lang="de-DE"/>
        </a:p>
      </xdr:txBody>
    </xdr:sp>
    <xdr:clientData/>
  </xdr:twoCellAnchor>
  <xdr:twoCellAnchor editAs="oneCell">
    <xdr:from>
      <xdr:col>11</xdr:col>
      <xdr:colOff>9525</xdr:colOff>
      <xdr:row>18</xdr:row>
      <xdr:rowOff>95250</xdr:rowOff>
    </xdr:from>
    <xdr:to>
      <xdr:col>12</xdr:col>
      <xdr:colOff>206375</xdr:colOff>
      <xdr:row>21</xdr:row>
      <xdr:rowOff>171450</xdr:rowOff>
    </xdr:to>
    <xdr:sp macro="" textlink="">
      <xdr:nvSpPr>
        <xdr:cNvPr id="7207" name="Text 15"/>
        <xdr:cNvSpPr txBox="1">
          <a:spLocks noChangeArrowheads="1"/>
        </xdr:cNvSpPr>
      </xdr:nvSpPr>
      <xdr:spPr bwMode="auto">
        <a:xfrm>
          <a:off x="4305300" y="3048000"/>
          <a:ext cx="5905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Wirkung 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der Investition</a:t>
          </a:r>
          <a:endParaRPr lang="de-DE"/>
        </a:p>
      </xdr:txBody>
    </xdr:sp>
    <xdr:clientData/>
  </xdr:twoCellAnchor>
  <xdr:twoCellAnchor editAs="oneCell">
    <xdr:from>
      <xdr:col>11</xdr:col>
      <xdr:colOff>9525</xdr:colOff>
      <xdr:row>22</xdr:row>
      <xdr:rowOff>38100</xdr:rowOff>
    </xdr:from>
    <xdr:to>
      <xdr:col>12</xdr:col>
      <xdr:colOff>225425</xdr:colOff>
      <xdr:row>24</xdr:row>
      <xdr:rowOff>171450</xdr:rowOff>
    </xdr:to>
    <xdr:sp macro="" textlink="">
      <xdr:nvSpPr>
        <xdr:cNvPr id="7208" name="Text 17"/>
        <xdr:cNvSpPr txBox="1">
          <a:spLocks noChangeArrowheads="1"/>
        </xdr:cNvSpPr>
      </xdr:nvSpPr>
      <xdr:spPr bwMode="auto">
        <a:xfrm>
          <a:off x="4305300" y="3714750"/>
          <a:ext cx="60960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Wirkung der Optimier.</a:t>
          </a:r>
          <a:endParaRPr lang="de-DE"/>
        </a:p>
      </xdr:txBody>
    </xdr:sp>
    <xdr:clientData/>
  </xdr:twoCellAnchor>
  <xdr:twoCellAnchor editAs="oneCell">
    <xdr:from>
      <xdr:col>14</xdr:col>
      <xdr:colOff>57150</xdr:colOff>
      <xdr:row>17</xdr:row>
      <xdr:rowOff>57150</xdr:rowOff>
    </xdr:from>
    <xdr:to>
      <xdr:col>15</xdr:col>
      <xdr:colOff>120650</xdr:colOff>
      <xdr:row>27</xdr:row>
      <xdr:rowOff>0</xdr:rowOff>
    </xdr:to>
    <xdr:sp macro="" textlink="">
      <xdr:nvSpPr>
        <xdr:cNvPr id="7209" name="Text 33"/>
        <xdr:cNvSpPr txBox="1">
          <a:spLocks noChangeArrowheads="1"/>
        </xdr:cNvSpPr>
      </xdr:nvSpPr>
      <xdr:spPr bwMode="auto">
        <a:xfrm>
          <a:off x="5553075" y="2828925"/>
          <a:ext cx="819150" cy="1752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de-DE"/>
        </a:p>
      </xdr:txBody>
    </xdr:sp>
    <xdr:clientData/>
  </xdr:twoCellAnchor>
  <xdr:twoCellAnchor editAs="oneCell">
    <xdr:from>
      <xdr:col>14</xdr:col>
      <xdr:colOff>57150</xdr:colOff>
      <xdr:row>17</xdr:row>
      <xdr:rowOff>57150</xdr:rowOff>
    </xdr:from>
    <xdr:to>
      <xdr:col>15</xdr:col>
      <xdr:colOff>120650</xdr:colOff>
      <xdr:row>18</xdr:row>
      <xdr:rowOff>22357</xdr:rowOff>
    </xdr:to>
    <xdr:sp macro="" textlink="">
      <xdr:nvSpPr>
        <xdr:cNvPr id="7210" name="Text 37"/>
        <xdr:cNvSpPr txBox="1">
          <a:spLocks noChangeArrowheads="1"/>
        </xdr:cNvSpPr>
      </xdr:nvSpPr>
      <xdr:spPr bwMode="auto">
        <a:xfrm>
          <a:off x="5553075" y="2828925"/>
          <a:ext cx="819150" cy="152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FALSCH</a:t>
          </a:r>
          <a:endParaRPr lang="de-DE"/>
        </a:p>
      </xdr:txBody>
    </xdr:sp>
    <xdr:clientData/>
  </xdr:twoCellAnchor>
  <xdr:twoCellAnchor>
    <xdr:from>
      <xdr:col>10</xdr:col>
      <xdr:colOff>292100</xdr:colOff>
      <xdr:row>18</xdr:row>
      <xdr:rowOff>82550</xdr:rowOff>
    </xdr:from>
    <xdr:to>
      <xdr:col>10</xdr:col>
      <xdr:colOff>387350</xdr:colOff>
      <xdr:row>22</xdr:row>
      <xdr:rowOff>6350</xdr:rowOff>
    </xdr:to>
    <xdr:sp macro="" textlink="">
      <xdr:nvSpPr>
        <xdr:cNvPr id="219498" name="AutoShape 43"/>
        <xdr:cNvSpPr>
          <a:spLocks/>
        </xdr:cNvSpPr>
      </xdr:nvSpPr>
      <xdr:spPr bwMode="auto">
        <a:xfrm>
          <a:off x="4375150" y="2984500"/>
          <a:ext cx="95250" cy="635000"/>
        </a:xfrm>
        <a:prstGeom prst="rightBrace">
          <a:avLst>
            <a:gd name="adj1" fmla="val 5555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292100</xdr:colOff>
      <xdr:row>22</xdr:row>
      <xdr:rowOff>57150</xdr:rowOff>
    </xdr:from>
    <xdr:to>
      <xdr:col>10</xdr:col>
      <xdr:colOff>387350</xdr:colOff>
      <xdr:row>24</xdr:row>
      <xdr:rowOff>171450</xdr:rowOff>
    </xdr:to>
    <xdr:sp macro="" textlink="">
      <xdr:nvSpPr>
        <xdr:cNvPr id="219499" name="AutoShape 44"/>
        <xdr:cNvSpPr>
          <a:spLocks/>
        </xdr:cNvSpPr>
      </xdr:nvSpPr>
      <xdr:spPr bwMode="auto">
        <a:xfrm>
          <a:off x="4375150" y="3670300"/>
          <a:ext cx="95250" cy="469900"/>
        </a:xfrm>
        <a:prstGeom prst="rightBrace">
          <a:avLst>
            <a:gd name="adj1" fmla="val 4111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279400</xdr:colOff>
      <xdr:row>18</xdr:row>
      <xdr:rowOff>82550</xdr:rowOff>
    </xdr:from>
    <xdr:to>
      <xdr:col>14</xdr:col>
      <xdr:colOff>381000</xdr:colOff>
      <xdr:row>24</xdr:row>
      <xdr:rowOff>158750</xdr:rowOff>
    </xdr:to>
    <xdr:sp macro="" textlink="">
      <xdr:nvSpPr>
        <xdr:cNvPr id="219500" name="AutoShape 45"/>
        <xdr:cNvSpPr>
          <a:spLocks/>
        </xdr:cNvSpPr>
      </xdr:nvSpPr>
      <xdr:spPr bwMode="auto">
        <a:xfrm>
          <a:off x="6038850" y="2984500"/>
          <a:ext cx="101600" cy="1143000"/>
        </a:xfrm>
        <a:prstGeom prst="rightBrace">
          <a:avLst>
            <a:gd name="adj1" fmla="val 937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14</xdr:col>
      <xdr:colOff>438150</xdr:colOff>
      <xdr:row>18</xdr:row>
      <xdr:rowOff>79375</xdr:rowOff>
    </xdr:from>
    <xdr:to>
      <xdr:col>15</xdr:col>
      <xdr:colOff>66809</xdr:colOff>
      <xdr:row>24</xdr:row>
      <xdr:rowOff>136525</xdr:rowOff>
    </xdr:to>
    <xdr:sp macro="" textlink="">
      <xdr:nvSpPr>
        <xdr:cNvPr id="7214" name="Text 15"/>
        <xdr:cNvSpPr txBox="1">
          <a:spLocks noChangeArrowheads="1"/>
        </xdr:cNvSpPr>
      </xdr:nvSpPr>
      <xdr:spPr bwMode="auto">
        <a:xfrm>
          <a:off x="5915025" y="3038475"/>
          <a:ext cx="40957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Wirkung 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der Investition</a:t>
          </a:r>
          <a:endParaRPr lang="de-DE"/>
        </a:p>
      </xdr:txBody>
    </xdr:sp>
    <xdr:clientData/>
  </xdr:twoCellAnchor>
  <xdr:twoCellAnchor>
    <xdr:from>
      <xdr:col>12</xdr:col>
      <xdr:colOff>222250</xdr:colOff>
      <xdr:row>18</xdr:row>
      <xdr:rowOff>82550</xdr:rowOff>
    </xdr:from>
    <xdr:to>
      <xdr:col>12</xdr:col>
      <xdr:colOff>317500</xdr:colOff>
      <xdr:row>24</xdr:row>
      <xdr:rowOff>158750</xdr:rowOff>
    </xdr:to>
    <xdr:sp macro="" textlink="">
      <xdr:nvSpPr>
        <xdr:cNvPr id="219502" name="AutoShape 47"/>
        <xdr:cNvSpPr>
          <a:spLocks/>
        </xdr:cNvSpPr>
      </xdr:nvSpPr>
      <xdr:spPr bwMode="auto">
        <a:xfrm>
          <a:off x="5143500" y="2984500"/>
          <a:ext cx="95250" cy="1143000"/>
        </a:xfrm>
        <a:prstGeom prst="rightBrace">
          <a:avLst>
            <a:gd name="adj1" fmla="val 10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12</xdr:col>
      <xdr:colOff>381000</xdr:colOff>
      <xdr:row>18</xdr:row>
      <xdr:rowOff>79375</xdr:rowOff>
    </xdr:from>
    <xdr:to>
      <xdr:col>13</xdr:col>
      <xdr:colOff>403270</xdr:colOff>
      <xdr:row>24</xdr:row>
      <xdr:rowOff>136525</xdr:rowOff>
    </xdr:to>
    <xdr:sp macro="" textlink="">
      <xdr:nvSpPr>
        <xdr:cNvPr id="7216" name="Text 15"/>
        <xdr:cNvSpPr txBox="1">
          <a:spLocks noChangeArrowheads="1"/>
        </xdr:cNvSpPr>
      </xdr:nvSpPr>
      <xdr:spPr bwMode="auto">
        <a:xfrm>
          <a:off x="5057775" y="3038475"/>
          <a:ext cx="42862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27432" tIns="22860" rIns="0" bIns="2286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Wirkung der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Optimierung + Investit.</a:t>
          </a:r>
          <a:endParaRPr lang="de-DE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0.86022</cdr:y>
    </cdr:from>
    <cdr:to>
      <cdr:x>0.49116</cdr:x>
      <cdr:y>0.86022</cdr:y>
    </cdr:to>
    <cdr:sp macro="" textlink="">
      <cdr:nvSpPr>
        <cdr:cNvPr id="16385" name="Text 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1297" y="193483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</a:t>
          </a:r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L104"/>
  <sheetViews>
    <sheetView showGridLines="0" tabSelected="1" zoomScale="175" zoomScaleNormal="175" workbookViewId="0"/>
  </sheetViews>
  <sheetFormatPr baseColWidth="10" defaultColWidth="11.453125" defaultRowHeight="12.5" x14ac:dyDescent="0.25"/>
  <cols>
    <col min="1" max="1" width="1.54296875" style="5" customWidth="1"/>
    <col min="2" max="2" width="5.54296875" style="5" customWidth="1"/>
    <col min="3" max="3" width="5.7265625" style="5" customWidth="1"/>
    <col min="4" max="4" width="12.81640625" style="5" customWidth="1"/>
    <col min="5" max="5" width="7.26953125" style="5" customWidth="1"/>
    <col min="6" max="6" width="9.26953125" style="5" customWidth="1"/>
    <col min="7" max="7" width="7.26953125" style="5" customWidth="1"/>
    <col min="8" max="8" width="9.26953125" style="5" customWidth="1"/>
    <col min="9" max="9" width="7.26953125" style="5" customWidth="1"/>
    <col min="10" max="10" width="9.26953125" style="5" customWidth="1"/>
    <col min="11" max="11" width="7.26953125" style="5" customWidth="1"/>
    <col min="12" max="12" width="9.26953125" style="5" customWidth="1"/>
    <col min="13" max="16384" width="11.453125" style="5"/>
  </cols>
  <sheetData>
    <row r="1" spans="1:12" ht="13" x14ac:dyDescent="0.3">
      <c r="B1" s="7" t="s">
        <v>58</v>
      </c>
    </row>
    <row r="2" spans="1:12" ht="14" x14ac:dyDescent="0.3">
      <c r="A2" s="12"/>
      <c r="L2" s="66" t="s">
        <v>37</v>
      </c>
    </row>
    <row r="3" spans="1:12" ht="14" x14ac:dyDescent="0.3">
      <c r="A3" s="12"/>
      <c r="B3" s="71" t="s">
        <v>82</v>
      </c>
      <c r="C3" s="13"/>
      <c r="D3" s="13"/>
      <c r="E3" s="14" t="s">
        <v>83</v>
      </c>
      <c r="F3" s="15"/>
      <c r="G3" s="14" t="s">
        <v>36</v>
      </c>
      <c r="H3" s="15"/>
      <c r="I3" s="14" t="s">
        <v>35</v>
      </c>
      <c r="J3" s="15"/>
      <c r="K3" s="16" t="s">
        <v>154</v>
      </c>
      <c r="L3" s="15"/>
    </row>
    <row r="4" spans="1:12" ht="14" x14ac:dyDescent="0.3">
      <c r="A4" s="12"/>
      <c r="B4" s="72" t="s">
        <v>84</v>
      </c>
      <c r="C4" s="18"/>
      <c r="D4" s="19" t="s">
        <v>85</v>
      </c>
      <c r="E4" s="17" t="s">
        <v>34</v>
      </c>
      <c r="F4" s="20" t="s">
        <v>90</v>
      </c>
      <c r="G4" s="17" t="s">
        <v>34</v>
      </c>
      <c r="H4" s="20" t="s">
        <v>90</v>
      </c>
      <c r="I4" s="17" t="s">
        <v>34</v>
      </c>
      <c r="J4" s="20" t="s">
        <v>90</v>
      </c>
      <c r="K4" s="21" t="s">
        <v>34</v>
      </c>
      <c r="L4" s="20" t="s">
        <v>90</v>
      </c>
    </row>
    <row r="6" spans="1:12" ht="13" x14ac:dyDescent="0.3">
      <c r="B6" s="6" t="s">
        <v>81</v>
      </c>
    </row>
    <row r="7" spans="1:12" ht="15.5" x14ac:dyDescent="0.35">
      <c r="A7" s="22"/>
      <c r="B7" s="67"/>
      <c r="C7" s="23" t="s">
        <v>86</v>
      </c>
      <c r="D7" s="23" t="s">
        <v>10</v>
      </c>
      <c r="E7" s="24">
        <v>485</v>
      </c>
      <c r="F7" s="25"/>
      <c r="G7" s="24">
        <v>410</v>
      </c>
      <c r="H7" s="25"/>
      <c r="I7" s="79">
        <v>7.5</v>
      </c>
      <c r="J7" s="25"/>
      <c r="K7" s="8">
        <v>1</v>
      </c>
      <c r="L7" s="26"/>
    </row>
    <row r="8" spans="1:12" ht="15.5" x14ac:dyDescent="0.35">
      <c r="A8" s="22"/>
      <c r="B8" s="68"/>
      <c r="C8" s="27" t="s">
        <v>86</v>
      </c>
      <c r="D8" s="27" t="s">
        <v>25</v>
      </c>
      <c r="E8" s="10">
        <v>430</v>
      </c>
      <c r="F8" s="28"/>
      <c r="G8" s="10">
        <v>390</v>
      </c>
      <c r="H8" s="28"/>
      <c r="I8" s="80">
        <v>7</v>
      </c>
      <c r="J8" s="28"/>
      <c r="K8" s="9">
        <v>1</v>
      </c>
      <c r="L8" s="29"/>
    </row>
    <row r="9" spans="1:12" ht="15.5" x14ac:dyDescent="0.35">
      <c r="A9" s="22"/>
      <c r="B9" s="70"/>
      <c r="C9" s="30" t="s">
        <v>51</v>
      </c>
      <c r="D9" s="30" t="s">
        <v>87</v>
      </c>
      <c r="E9" s="31">
        <v>550</v>
      </c>
      <c r="F9" s="32"/>
      <c r="G9" s="31">
        <v>420</v>
      </c>
      <c r="H9" s="32"/>
      <c r="I9" s="81">
        <v>16</v>
      </c>
      <c r="J9" s="32"/>
      <c r="K9" s="11">
        <v>0</v>
      </c>
      <c r="L9" s="33"/>
    </row>
    <row r="10" spans="1:12" ht="14" x14ac:dyDescent="0.3">
      <c r="A10" s="12"/>
      <c r="B10" s="73" t="s">
        <v>92</v>
      </c>
      <c r="C10" s="19"/>
      <c r="D10" s="19"/>
      <c r="E10" s="34" t="s">
        <v>91</v>
      </c>
      <c r="F10" s="35"/>
      <c r="G10" s="34" t="s">
        <v>91</v>
      </c>
      <c r="H10" s="35"/>
      <c r="I10" s="34" t="s">
        <v>91</v>
      </c>
      <c r="J10" s="35"/>
      <c r="K10" s="36" t="s">
        <v>91</v>
      </c>
      <c r="L10" s="37"/>
    </row>
    <row r="11" spans="1:12" ht="14" x14ac:dyDescent="0.3">
      <c r="A11" s="12"/>
      <c r="B11" s="74"/>
    </row>
    <row r="12" spans="1:12" ht="14" x14ac:dyDescent="0.3">
      <c r="A12" s="12"/>
      <c r="B12" s="74"/>
    </row>
    <row r="13" spans="1:12" ht="14" x14ac:dyDescent="0.3">
      <c r="A13" s="12"/>
      <c r="B13" s="6" t="s">
        <v>152</v>
      </c>
    </row>
    <row r="14" spans="1:12" ht="15.5" x14ac:dyDescent="0.35">
      <c r="A14" s="22"/>
      <c r="B14" s="67"/>
      <c r="C14" s="23" t="s">
        <v>86</v>
      </c>
      <c r="D14" s="23" t="s">
        <v>10</v>
      </c>
      <c r="E14" s="24">
        <v>530</v>
      </c>
      <c r="F14" s="25"/>
      <c r="G14" s="24">
        <v>430</v>
      </c>
      <c r="H14" s="25"/>
      <c r="I14" s="79">
        <v>7.6</v>
      </c>
      <c r="J14" s="25"/>
      <c r="K14" s="8">
        <v>1</v>
      </c>
      <c r="L14" s="26"/>
    </row>
    <row r="15" spans="1:12" ht="15.5" x14ac:dyDescent="0.35">
      <c r="A15" s="22"/>
      <c r="B15" s="68"/>
      <c r="C15" s="27" t="s">
        <v>86</v>
      </c>
      <c r="D15" s="27" t="s">
        <v>25</v>
      </c>
      <c r="E15" s="10">
        <v>470</v>
      </c>
      <c r="F15" s="28"/>
      <c r="G15" s="10">
        <v>410</v>
      </c>
      <c r="H15" s="28"/>
      <c r="I15" s="80">
        <v>7.2</v>
      </c>
      <c r="J15" s="28"/>
      <c r="K15" s="9">
        <v>1</v>
      </c>
      <c r="L15" s="29"/>
    </row>
    <row r="16" spans="1:12" ht="15.5" x14ac:dyDescent="0.35">
      <c r="A16" s="22"/>
      <c r="B16" s="69"/>
      <c r="C16" s="38" t="s">
        <v>86</v>
      </c>
      <c r="D16" s="38" t="s">
        <v>39</v>
      </c>
      <c r="E16" s="39">
        <v>500</v>
      </c>
      <c r="F16" s="28"/>
      <c r="G16" s="10">
        <v>270</v>
      </c>
      <c r="H16" s="28"/>
      <c r="I16" s="80">
        <v>2.9</v>
      </c>
      <c r="J16" s="28"/>
      <c r="K16" s="9">
        <v>1</v>
      </c>
      <c r="L16" s="29"/>
    </row>
    <row r="17" spans="1:12" ht="15.5" x14ac:dyDescent="0.35">
      <c r="A17" s="22"/>
      <c r="B17" s="70"/>
      <c r="C17" s="30" t="s">
        <v>51</v>
      </c>
      <c r="D17" s="30" t="s">
        <v>87</v>
      </c>
      <c r="E17" s="31">
        <v>610</v>
      </c>
      <c r="F17" s="32"/>
      <c r="G17" s="31">
        <v>440</v>
      </c>
      <c r="H17" s="32"/>
      <c r="I17" s="81">
        <v>17</v>
      </c>
      <c r="J17" s="32"/>
      <c r="K17" s="11">
        <v>0</v>
      </c>
      <c r="L17" s="33"/>
    </row>
    <row r="18" spans="1:12" ht="14" x14ac:dyDescent="0.3">
      <c r="A18" s="12"/>
      <c r="B18" s="75" t="s">
        <v>92</v>
      </c>
      <c r="C18" s="23"/>
      <c r="D18" s="23"/>
      <c r="E18" s="41" t="s">
        <v>91</v>
      </c>
      <c r="F18" s="25"/>
      <c r="G18" s="41" t="s">
        <v>91</v>
      </c>
      <c r="H18" s="25"/>
      <c r="I18" s="41" t="s">
        <v>91</v>
      </c>
      <c r="J18" s="25"/>
      <c r="K18" s="42" t="s">
        <v>91</v>
      </c>
      <c r="L18" s="26"/>
    </row>
    <row r="19" spans="1:12" ht="14" x14ac:dyDescent="0.3">
      <c r="A19" s="12"/>
      <c r="B19" s="76" t="s">
        <v>155</v>
      </c>
      <c r="C19" s="30"/>
      <c r="D19" s="30"/>
      <c r="E19" s="44" t="s">
        <v>91</v>
      </c>
      <c r="F19" s="32"/>
      <c r="G19" s="44" t="s">
        <v>91</v>
      </c>
      <c r="H19" s="32"/>
      <c r="I19" s="44" t="s">
        <v>91</v>
      </c>
      <c r="J19" s="32"/>
      <c r="K19" s="45" t="s">
        <v>91</v>
      </c>
      <c r="L19" s="33"/>
    </row>
    <row r="20" spans="1:12" ht="9" customHeight="1" x14ac:dyDescent="0.3">
      <c r="A20" s="12"/>
      <c r="B20" s="77"/>
      <c r="C20" s="13"/>
      <c r="D20" s="13"/>
      <c r="E20" s="13"/>
      <c r="F20" s="13"/>
      <c r="G20" s="13"/>
      <c r="H20" s="13"/>
      <c r="I20" s="13"/>
      <c r="J20" s="13"/>
      <c r="K20" s="13"/>
      <c r="L20" s="54"/>
    </row>
    <row r="21" spans="1:12" ht="15.5" x14ac:dyDescent="0.35">
      <c r="A21" s="22"/>
      <c r="B21" s="78" t="s">
        <v>38</v>
      </c>
      <c r="C21" s="46"/>
      <c r="D21" s="47"/>
      <c r="E21" s="48"/>
      <c r="F21" s="48"/>
      <c r="G21" s="48"/>
      <c r="H21" s="48"/>
      <c r="I21" s="48"/>
      <c r="J21" s="48"/>
      <c r="K21" s="48"/>
      <c r="L21" s="56"/>
    </row>
    <row r="22" spans="1:12" ht="15.5" x14ac:dyDescent="0.35">
      <c r="A22" s="22"/>
      <c r="B22" s="374"/>
      <c r="C22" s="375"/>
      <c r="D22" s="363"/>
      <c r="E22" s="364"/>
      <c r="F22" s="363"/>
      <c r="G22" s="363"/>
      <c r="H22" s="365"/>
      <c r="I22" s="364"/>
      <c r="J22" s="363"/>
      <c r="K22" s="364"/>
      <c r="L22" s="371"/>
    </row>
    <row r="23" spans="1:12" ht="15.5" x14ac:dyDescent="0.35">
      <c r="A23" s="22"/>
      <c r="B23" s="376"/>
      <c r="C23" s="377"/>
      <c r="D23" s="366"/>
      <c r="E23" s="57"/>
      <c r="F23" s="367"/>
      <c r="G23" s="367"/>
      <c r="H23" s="63"/>
      <c r="I23" s="57"/>
      <c r="J23" s="58"/>
      <c r="K23" s="58"/>
      <c r="L23" s="372"/>
    </row>
    <row r="24" spans="1:12" ht="15.5" x14ac:dyDescent="0.35">
      <c r="A24" s="22"/>
      <c r="B24" s="378"/>
      <c r="C24" s="379"/>
      <c r="D24" s="367"/>
      <c r="E24" s="57"/>
      <c r="F24" s="367"/>
      <c r="G24" s="367"/>
      <c r="H24" s="63"/>
      <c r="I24" s="59"/>
      <c r="J24" s="58"/>
      <c r="K24" s="58"/>
      <c r="L24" s="372"/>
    </row>
    <row r="25" spans="1:12" ht="15.5" x14ac:dyDescent="0.35">
      <c r="A25" s="22"/>
      <c r="B25" s="378"/>
      <c r="C25" s="379"/>
      <c r="D25" s="367"/>
      <c r="E25" s="57"/>
      <c r="F25" s="367"/>
      <c r="G25" s="367"/>
      <c r="H25" s="63"/>
      <c r="I25" s="60"/>
      <c r="J25" s="58"/>
      <c r="K25" s="58"/>
      <c r="L25" s="372"/>
    </row>
    <row r="26" spans="1:12" ht="15.5" x14ac:dyDescent="0.35">
      <c r="A26" s="22"/>
      <c r="B26" s="378"/>
      <c r="C26" s="379"/>
      <c r="D26" s="367"/>
      <c r="E26" s="57"/>
      <c r="F26" s="367"/>
      <c r="G26" s="367"/>
      <c r="H26" s="63"/>
      <c r="I26" s="61"/>
      <c r="J26" s="58"/>
      <c r="K26" s="58"/>
      <c r="L26" s="372"/>
    </row>
    <row r="27" spans="1:12" ht="15.5" x14ac:dyDescent="0.35">
      <c r="A27" s="22"/>
      <c r="B27" s="376"/>
      <c r="C27" s="377"/>
      <c r="D27" s="366"/>
      <c r="E27" s="57"/>
      <c r="F27" s="367"/>
      <c r="G27" s="367"/>
      <c r="H27" s="63"/>
      <c r="I27" s="367"/>
      <c r="J27" s="367"/>
      <c r="K27" s="367"/>
      <c r="L27" s="372"/>
    </row>
    <row r="28" spans="1:12" ht="15.5" x14ac:dyDescent="0.35">
      <c r="A28" s="22"/>
      <c r="B28" s="380"/>
      <c r="C28" s="381"/>
      <c r="D28" s="369"/>
      <c r="E28" s="368"/>
      <c r="F28" s="368"/>
      <c r="G28" s="368"/>
      <c r="H28" s="62"/>
      <c r="I28" s="370"/>
      <c r="J28" s="368"/>
      <c r="K28" s="368"/>
      <c r="L28" s="373"/>
    </row>
    <row r="29" spans="1:12" ht="14" x14ac:dyDescent="0.3">
      <c r="A29" s="12"/>
      <c r="B29" s="74"/>
    </row>
    <row r="30" spans="1:12" ht="14" x14ac:dyDescent="0.3">
      <c r="A30" s="12"/>
      <c r="B30" s="74"/>
    </row>
    <row r="31" spans="1:12" ht="14" x14ac:dyDescent="0.3">
      <c r="A31" s="12"/>
      <c r="B31" s="6" t="s">
        <v>153</v>
      </c>
    </row>
    <row r="32" spans="1:12" ht="15.5" x14ac:dyDescent="0.35">
      <c r="A32" s="22"/>
      <c r="B32" s="67"/>
      <c r="C32" s="23" t="s">
        <v>86</v>
      </c>
      <c r="D32" s="23" t="s">
        <v>10</v>
      </c>
      <c r="E32" s="24">
        <v>530</v>
      </c>
      <c r="F32" s="25"/>
      <c r="G32" s="24">
        <v>430</v>
      </c>
      <c r="H32" s="25"/>
      <c r="I32" s="79">
        <v>7.6</v>
      </c>
      <c r="J32" s="25"/>
      <c r="K32" s="8">
        <v>1</v>
      </c>
      <c r="L32" s="26"/>
    </row>
    <row r="33" spans="1:12" ht="15.5" x14ac:dyDescent="0.35">
      <c r="A33" s="22"/>
      <c r="B33" s="68"/>
      <c r="C33" s="27" t="s">
        <v>86</v>
      </c>
      <c r="D33" s="27" t="s">
        <v>25</v>
      </c>
      <c r="E33" s="10">
        <v>470</v>
      </c>
      <c r="F33" s="28"/>
      <c r="G33" s="10">
        <v>410</v>
      </c>
      <c r="H33" s="28"/>
      <c r="I33" s="80">
        <v>7.2</v>
      </c>
      <c r="J33" s="28"/>
      <c r="K33" s="9">
        <v>1</v>
      </c>
      <c r="L33" s="29"/>
    </row>
    <row r="34" spans="1:12" ht="15.5" x14ac:dyDescent="0.35">
      <c r="A34" s="22"/>
      <c r="B34" s="68"/>
      <c r="C34" s="27" t="s">
        <v>86</v>
      </c>
      <c r="D34" s="27" t="s">
        <v>39</v>
      </c>
      <c r="E34" s="10">
        <v>500</v>
      </c>
      <c r="F34" s="28"/>
      <c r="G34" s="10">
        <v>270</v>
      </c>
      <c r="H34" s="28"/>
      <c r="I34" s="80">
        <v>2.9</v>
      </c>
      <c r="J34" s="28"/>
      <c r="K34" s="9">
        <v>1</v>
      </c>
      <c r="L34" s="29"/>
    </row>
    <row r="35" spans="1:12" ht="15.5" x14ac:dyDescent="0.35">
      <c r="A35" s="22"/>
      <c r="B35" s="69"/>
      <c r="C35" s="38" t="s">
        <v>51</v>
      </c>
      <c r="D35" s="38" t="s">
        <v>87</v>
      </c>
      <c r="E35" s="39">
        <v>610</v>
      </c>
      <c r="F35" s="28"/>
      <c r="G35" s="39">
        <v>440</v>
      </c>
      <c r="H35" s="28"/>
      <c r="I35" s="82">
        <v>17</v>
      </c>
      <c r="J35" s="28"/>
      <c r="K35" s="49">
        <v>0</v>
      </c>
      <c r="L35" s="29"/>
    </row>
    <row r="36" spans="1:12" ht="15.5" x14ac:dyDescent="0.35">
      <c r="A36" s="22"/>
      <c r="B36" s="70"/>
      <c r="C36" s="30" t="s">
        <v>88</v>
      </c>
      <c r="D36" s="30" t="s">
        <v>89</v>
      </c>
      <c r="E36" s="31">
        <v>60</v>
      </c>
      <c r="F36" s="32"/>
      <c r="G36" s="31">
        <v>85</v>
      </c>
      <c r="H36" s="32"/>
      <c r="I36" s="81">
        <v>1.5</v>
      </c>
      <c r="J36" s="32"/>
      <c r="K36" s="11">
        <v>0</v>
      </c>
      <c r="L36" s="33"/>
    </row>
    <row r="37" spans="1:12" ht="14" x14ac:dyDescent="0.3">
      <c r="A37" s="12"/>
      <c r="B37" s="40" t="s">
        <v>92</v>
      </c>
      <c r="C37" s="23"/>
      <c r="D37" s="23"/>
      <c r="E37" s="41" t="s">
        <v>91</v>
      </c>
      <c r="F37" s="25"/>
      <c r="G37" s="41" t="s">
        <v>91</v>
      </c>
      <c r="H37" s="25"/>
      <c r="I37" s="41" t="s">
        <v>91</v>
      </c>
      <c r="J37" s="25"/>
      <c r="K37" s="42" t="s">
        <v>91</v>
      </c>
      <c r="L37" s="26"/>
    </row>
    <row r="38" spans="1:12" ht="14" x14ac:dyDescent="0.3">
      <c r="A38" s="12"/>
      <c r="B38" s="50" t="s">
        <v>155</v>
      </c>
      <c r="C38" s="27"/>
      <c r="D38" s="27"/>
      <c r="E38" s="51" t="s">
        <v>91</v>
      </c>
      <c r="F38" s="28"/>
      <c r="G38" s="51" t="s">
        <v>91</v>
      </c>
      <c r="H38" s="28"/>
      <c r="I38" s="51" t="s">
        <v>91</v>
      </c>
      <c r="J38" s="28"/>
      <c r="K38" s="52" t="s">
        <v>91</v>
      </c>
      <c r="L38" s="29"/>
    </row>
    <row r="39" spans="1:12" ht="14" x14ac:dyDescent="0.3">
      <c r="A39" s="12"/>
      <c r="B39" s="43" t="s">
        <v>156</v>
      </c>
      <c r="C39" s="30"/>
      <c r="D39" s="30"/>
      <c r="E39" s="44" t="s">
        <v>91</v>
      </c>
      <c r="F39" s="32"/>
      <c r="G39" s="44" t="s">
        <v>91</v>
      </c>
      <c r="H39" s="32"/>
      <c r="I39" s="44" t="s">
        <v>91</v>
      </c>
      <c r="J39" s="32"/>
      <c r="K39" s="45" t="s">
        <v>91</v>
      </c>
      <c r="L39" s="33"/>
    </row>
    <row r="40" spans="1:12" ht="9" customHeight="1" x14ac:dyDescent="0.3">
      <c r="A40" s="12"/>
      <c r="B40" s="53"/>
      <c r="C40" s="13"/>
      <c r="D40" s="13"/>
      <c r="E40" s="13"/>
      <c r="F40" s="13"/>
      <c r="G40" s="13"/>
      <c r="H40" s="13"/>
      <c r="I40" s="13"/>
      <c r="J40" s="13"/>
      <c r="K40" s="13"/>
      <c r="L40" s="54"/>
    </row>
    <row r="41" spans="1:12" ht="14" x14ac:dyDescent="0.3">
      <c r="A41" s="12"/>
      <c r="B41" s="55" t="s">
        <v>38</v>
      </c>
      <c r="C41" s="46"/>
      <c r="D41" s="47"/>
      <c r="E41" s="48"/>
      <c r="F41" s="48"/>
      <c r="G41" s="48"/>
      <c r="H41" s="48"/>
      <c r="I41" s="48"/>
      <c r="J41" s="48"/>
      <c r="K41" s="48"/>
      <c r="L41" s="56"/>
    </row>
    <row r="42" spans="1:12" ht="15.5" x14ac:dyDescent="0.35">
      <c r="A42" s="22"/>
      <c r="B42" s="384"/>
      <c r="C42" s="375"/>
      <c r="D42" s="363"/>
      <c r="E42" s="364"/>
      <c r="F42" s="363"/>
      <c r="G42" s="363"/>
      <c r="H42" s="365"/>
      <c r="I42" s="364"/>
      <c r="J42" s="363"/>
      <c r="K42" s="364"/>
      <c r="L42" s="371"/>
    </row>
    <row r="43" spans="1:12" ht="15.5" x14ac:dyDescent="0.35">
      <c r="A43" s="22"/>
      <c r="B43" s="376"/>
      <c r="C43" s="377"/>
      <c r="D43" s="366"/>
      <c r="E43" s="57"/>
      <c r="F43" s="367"/>
      <c r="G43" s="367"/>
      <c r="H43" s="63"/>
      <c r="I43" s="63"/>
      <c r="J43" s="58"/>
      <c r="K43" s="58"/>
      <c r="L43" s="372"/>
    </row>
    <row r="44" spans="1:12" ht="15.5" x14ac:dyDescent="0.35">
      <c r="A44" s="22"/>
      <c r="B44" s="378"/>
      <c r="C44" s="379"/>
      <c r="D44" s="367"/>
      <c r="E44" s="57"/>
      <c r="F44" s="367"/>
      <c r="G44" s="367"/>
      <c r="H44" s="63"/>
      <c r="I44" s="64"/>
      <c r="J44" s="58"/>
      <c r="K44" s="58"/>
      <c r="L44" s="372"/>
    </row>
    <row r="45" spans="1:12" ht="15.5" x14ac:dyDescent="0.35">
      <c r="A45" s="22"/>
      <c r="B45" s="378"/>
      <c r="C45" s="379"/>
      <c r="D45" s="367"/>
      <c r="E45" s="57"/>
      <c r="F45" s="367"/>
      <c r="G45" s="367"/>
      <c r="H45" s="63"/>
      <c r="I45" s="60"/>
      <c r="J45" s="58"/>
      <c r="K45" s="58"/>
      <c r="L45" s="372"/>
    </row>
    <row r="46" spans="1:12" ht="15.5" x14ac:dyDescent="0.35">
      <c r="A46" s="22"/>
      <c r="B46" s="378"/>
      <c r="C46" s="379"/>
      <c r="D46" s="367"/>
      <c r="E46" s="367"/>
      <c r="F46" s="57"/>
      <c r="G46" s="57"/>
      <c r="H46" s="63"/>
      <c r="I46" s="63"/>
      <c r="J46" s="58"/>
      <c r="K46" s="65"/>
      <c r="L46" s="372"/>
    </row>
    <row r="47" spans="1:12" ht="15.5" x14ac:dyDescent="0.35">
      <c r="A47" s="22"/>
      <c r="B47" s="378"/>
      <c r="C47" s="379"/>
      <c r="D47" s="367"/>
      <c r="E47" s="367"/>
      <c r="F47" s="57"/>
      <c r="G47" s="57"/>
      <c r="H47" s="63"/>
      <c r="I47" s="63"/>
      <c r="J47" s="58"/>
      <c r="K47" s="65"/>
      <c r="L47" s="372"/>
    </row>
    <row r="48" spans="1:12" ht="15.5" x14ac:dyDescent="0.35">
      <c r="A48" s="22"/>
      <c r="B48" s="376"/>
      <c r="C48" s="379"/>
      <c r="D48" s="367"/>
      <c r="E48" s="57"/>
      <c r="F48" s="367"/>
      <c r="G48" s="367"/>
      <c r="H48" s="63"/>
      <c r="I48" s="63"/>
      <c r="J48" s="58"/>
      <c r="K48" s="58"/>
      <c r="L48" s="372"/>
    </row>
    <row r="49" spans="1:12" ht="15.5" x14ac:dyDescent="0.35">
      <c r="A49" s="22"/>
      <c r="B49" s="376"/>
      <c r="C49" s="379"/>
      <c r="D49" s="367"/>
      <c r="E49" s="57"/>
      <c r="F49" s="367"/>
      <c r="G49" s="367"/>
      <c r="H49" s="63"/>
      <c r="I49" s="63"/>
      <c r="J49" s="58"/>
      <c r="K49" s="58"/>
      <c r="L49" s="372"/>
    </row>
    <row r="50" spans="1:12" ht="15.5" x14ac:dyDescent="0.35">
      <c r="A50" s="22"/>
      <c r="B50" s="378"/>
      <c r="C50" s="379"/>
      <c r="D50" s="367"/>
      <c r="E50" s="57"/>
      <c r="F50" s="367"/>
      <c r="G50" s="367"/>
      <c r="H50" s="63"/>
      <c r="I50" s="63"/>
      <c r="J50" s="58"/>
      <c r="K50" s="58"/>
      <c r="L50" s="372"/>
    </row>
    <row r="51" spans="1:12" ht="15.5" x14ac:dyDescent="0.35">
      <c r="A51" s="22"/>
      <c r="B51" s="378"/>
      <c r="C51" s="379"/>
      <c r="D51" s="367"/>
      <c r="E51" s="57"/>
      <c r="F51" s="367"/>
      <c r="G51" s="367"/>
      <c r="H51" s="63"/>
      <c r="I51" s="61"/>
      <c r="J51" s="58"/>
      <c r="K51" s="58"/>
      <c r="L51" s="372"/>
    </row>
    <row r="52" spans="1:12" ht="15.5" x14ac:dyDescent="0.35">
      <c r="A52" s="22"/>
      <c r="B52" s="385"/>
      <c r="C52" s="386"/>
      <c r="D52" s="382"/>
      <c r="E52" s="362"/>
      <c r="F52" s="367"/>
      <c r="G52" s="367"/>
      <c r="H52" s="383"/>
      <c r="I52" s="362"/>
      <c r="J52" s="362"/>
      <c r="K52" s="367"/>
      <c r="L52" s="372"/>
    </row>
    <row r="53" spans="1:12" ht="15.5" x14ac:dyDescent="0.35">
      <c r="A53" s="22"/>
      <c r="B53" s="376"/>
      <c r="C53" s="379"/>
      <c r="D53" s="57"/>
      <c r="E53" s="367"/>
      <c r="F53" s="367"/>
      <c r="G53" s="367"/>
      <c r="H53" s="63"/>
      <c r="I53" s="366"/>
      <c r="J53" s="367"/>
      <c r="K53" s="367"/>
      <c r="L53" s="372"/>
    </row>
    <row r="54" spans="1:12" ht="15.5" x14ac:dyDescent="0.35">
      <c r="A54" s="22"/>
      <c r="B54" s="380"/>
      <c r="C54" s="381"/>
      <c r="D54" s="369"/>
      <c r="E54" s="368"/>
      <c r="F54" s="368"/>
      <c r="G54" s="368"/>
      <c r="H54" s="62"/>
      <c r="I54" s="370"/>
      <c r="J54" s="368"/>
      <c r="K54" s="368"/>
      <c r="L54" s="373"/>
    </row>
    <row r="55" spans="1:12" ht="14" x14ac:dyDescent="0.3">
      <c r="A55" s="12"/>
    </row>
    <row r="56" spans="1:12" ht="13" x14ac:dyDescent="0.3">
      <c r="B56" s="7" t="s">
        <v>125</v>
      </c>
    </row>
    <row r="57" spans="1:12" ht="14" x14ac:dyDescent="0.3">
      <c r="A57" s="12"/>
    </row>
    <row r="58" spans="1:12" ht="14" x14ac:dyDescent="0.3">
      <c r="A58" s="12"/>
    </row>
    <row r="59" spans="1:12" ht="14" x14ac:dyDescent="0.3">
      <c r="A59" s="12"/>
      <c r="B59" s="6" t="s">
        <v>11</v>
      </c>
      <c r="L59" s="66" t="s">
        <v>37</v>
      </c>
    </row>
    <row r="60" spans="1:12" x14ac:dyDescent="0.25">
      <c r="B60" s="71" t="s">
        <v>82</v>
      </c>
      <c r="C60" s="13"/>
      <c r="D60" s="13"/>
      <c r="E60" s="14" t="s">
        <v>83</v>
      </c>
      <c r="F60" s="15"/>
      <c r="G60" s="14" t="s">
        <v>36</v>
      </c>
      <c r="H60" s="15"/>
      <c r="I60" s="14" t="s">
        <v>35</v>
      </c>
      <c r="J60" s="15"/>
      <c r="K60" s="16" t="s">
        <v>154</v>
      </c>
      <c r="L60" s="15"/>
    </row>
    <row r="61" spans="1:12" x14ac:dyDescent="0.25">
      <c r="B61" s="72" t="s">
        <v>84</v>
      </c>
      <c r="C61" s="18"/>
      <c r="D61" s="19" t="s">
        <v>85</v>
      </c>
      <c r="E61" s="17" t="s">
        <v>34</v>
      </c>
      <c r="F61" s="20" t="s">
        <v>90</v>
      </c>
      <c r="G61" s="17" t="s">
        <v>34</v>
      </c>
      <c r="H61" s="20" t="s">
        <v>90</v>
      </c>
      <c r="I61" s="17" t="s">
        <v>34</v>
      </c>
      <c r="J61" s="20" t="s">
        <v>90</v>
      </c>
      <c r="K61" s="21" t="s">
        <v>34</v>
      </c>
      <c r="L61" s="20" t="s">
        <v>90</v>
      </c>
    </row>
    <row r="62" spans="1:12" ht="14" x14ac:dyDescent="0.3">
      <c r="A62" s="12"/>
      <c r="B62" s="88" t="s">
        <v>92</v>
      </c>
      <c r="C62" s="89"/>
      <c r="D62" s="89"/>
      <c r="E62" s="90" t="s">
        <v>91</v>
      </c>
      <c r="F62" s="91"/>
      <c r="G62" s="90" t="s">
        <v>91</v>
      </c>
      <c r="H62" s="91"/>
      <c r="I62" s="90" t="s">
        <v>91</v>
      </c>
      <c r="J62" s="91"/>
      <c r="K62" s="92" t="s">
        <v>91</v>
      </c>
      <c r="L62" s="93"/>
    </row>
    <row r="63" spans="1:12" ht="14" x14ac:dyDescent="0.3">
      <c r="A63" s="12"/>
    </row>
    <row r="64" spans="1:12" ht="14" x14ac:dyDescent="0.3">
      <c r="A64" s="12"/>
      <c r="B64" s="74"/>
    </row>
    <row r="65" spans="1:12" ht="14" x14ac:dyDescent="0.3">
      <c r="A65" s="12"/>
      <c r="B65" s="6" t="s">
        <v>99</v>
      </c>
    </row>
    <row r="66" spans="1:12" ht="14" x14ac:dyDescent="0.3">
      <c r="A66" s="12"/>
      <c r="B66" s="71" t="s">
        <v>82</v>
      </c>
      <c r="C66" s="13"/>
      <c r="D66" s="13"/>
      <c r="E66" s="14" t="s">
        <v>83</v>
      </c>
      <c r="F66" s="15"/>
      <c r="G66" s="14" t="s">
        <v>36</v>
      </c>
      <c r="H66" s="15"/>
      <c r="I66" s="14" t="s">
        <v>35</v>
      </c>
      <c r="J66" s="15"/>
      <c r="K66" s="16" t="s">
        <v>154</v>
      </c>
      <c r="L66" s="15"/>
    </row>
    <row r="67" spans="1:12" ht="14" x14ac:dyDescent="0.3">
      <c r="A67" s="12"/>
      <c r="B67" s="72" t="s">
        <v>84</v>
      </c>
      <c r="C67" s="18"/>
      <c r="D67" s="19" t="s">
        <v>85</v>
      </c>
      <c r="E67" s="17" t="s">
        <v>34</v>
      </c>
      <c r="F67" s="20" t="s">
        <v>90</v>
      </c>
      <c r="G67" s="17" t="s">
        <v>34</v>
      </c>
      <c r="H67" s="20" t="s">
        <v>90</v>
      </c>
      <c r="I67" s="17" t="s">
        <v>34</v>
      </c>
      <c r="J67" s="20" t="s">
        <v>90</v>
      </c>
      <c r="K67" s="21" t="s">
        <v>34</v>
      </c>
      <c r="L67" s="20" t="s">
        <v>90</v>
      </c>
    </row>
    <row r="68" spans="1:12" ht="14" x14ac:dyDescent="0.3">
      <c r="A68" s="12"/>
      <c r="B68" s="94" t="s">
        <v>79</v>
      </c>
      <c r="C68" s="23"/>
      <c r="D68" s="23"/>
      <c r="E68" s="41" t="s">
        <v>91</v>
      </c>
      <c r="F68" s="25">
        <v>124700</v>
      </c>
      <c r="G68" s="41" t="s">
        <v>91</v>
      </c>
      <c r="H68" s="25">
        <v>100800</v>
      </c>
      <c r="I68" s="41" t="s">
        <v>91</v>
      </c>
      <c r="J68" s="25">
        <v>2755</v>
      </c>
      <c r="K68" s="42" t="s">
        <v>91</v>
      </c>
      <c r="L68" s="26">
        <v>100</v>
      </c>
    </row>
    <row r="69" spans="1:12" ht="14" x14ac:dyDescent="0.3">
      <c r="A69" s="12"/>
      <c r="B69" s="95" t="s">
        <v>155</v>
      </c>
      <c r="C69" s="30"/>
      <c r="D69" s="30"/>
      <c r="E69" s="44" t="s">
        <v>91</v>
      </c>
      <c r="F69" s="32"/>
      <c r="G69" s="44" t="s">
        <v>91</v>
      </c>
      <c r="H69" s="32"/>
      <c r="I69" s="44" t="s">
        <v>91</v>
      </c>
      <c r="J69" s="32"/>
      <c r="K69" s="45" t="s">
        <v>91</v>
      </c>
      <c r="L69" s="33"/>
    </row>
    <row r="70" spans="1:12" ht="9" customHeight="1" x14ac:dyDescent="0.3">
      <c r="A70" s="12"/>
      <c r="B70" s="77"/>
      <c r="C70" s="13"/>
      <c r="D70" s="13"/>
      <c r="E70" s="13"/>
      <c r="F70" s="13"/>
      <c r="G70" s="13"/>
      <c r="H70" s="13"/>
      <c r="I70" s="13"/>
      <c r="J70" s="13"/>
      <c r="K70" s="13"/>
      <c r="L70" s="54"/>
    </row>
    <row r="71" spans="1:12" ht="15.5" x14ac:dyDescent="0.35">
      <c r="A71" s="22"/>
      <c r="B71" s="78" t="s">
        <v>38</v>
      </c>
      <c r="C71" s="46"/>
      <c r="D71" s="47"/>
      <c r="E71" s="48"/>
      <c r="F71" s="48"/>
      <c r="G71" s="48"/>
      <c r="H71" s="48"/>
      <c r="I71" s="48"/>
      <c r="J71" s="48"/>
      <c r="K71" s="48"/>
      <c r="L71" s="56"/>
    </row>
    <row r="72" spans="1:12" ht="15.5" x14ac:dyDescent="0.35">
      <c r="A72" s="22"/>
      <c r="B72" s="384"/>
      <c r="C72" s="375"/>
      <c r="D72" s="387"/>
      <c r="E72" s="387"/>
      <c r="F72" s="387"/>
      <c r="G72" s="387"/>
      <c r="H72" s="387"/>
      <c r="I72" s="387"/>
      <c r="J72" s="387"/>
      <c r="K72" s="387"/>
      <c r="L72" s="371"/>
    </row>
    <row r="73" spans="1:12" ht="15.5" x14ac:dyDescent="0.35">
      <c r="A73" s="22"/>
      <c r="B73" s="376"/>
      <c r="C73" s="377"/>
      <c r="D73" s="61"/>
      <c r="E73" s="58"/>
      <c r="F73" s="58"/>
      <c r="G73" s="58"/>
      <c r="H73" s="58"/>
      <c r="I73" s="58"/>
      <c r="J73" s="58"/>
      <c r="K73" s="58"/>
      <c r="L73" s="372"/>
    </row>
    <row r="74" spans="1:12" ht="15.5" x14ac:dyDescent="0.35">
      <c r="A74" s="22"/>
      <c r="B74" s="378"/>
      <c r="C74" s="379"/>
      <c r="D74" s="58"/>
      <c r="E74" s="58"/>
      <c r="F74" s="58"/>
      <c r="G74" s="58"/>
      <c r="H74" s="58"/>
      <c r="I74" s="61"/>
      <c r="J74" s="58"/>
      <c r="K74" s="58"/>
      <c r="L74" s="372"/>
    </row>
    <row r="75" spans="1:12" ht="15.5" x14ac:dyDescent="0.35">
      <c r="A75" s="22"/>
      <c r="B75" s="378"/>
      <c r="C75" s="379"/>
      <c r="D75" s="58"/>
      <c r="E75" s="58"/>
      <c r="F75" s="58"/>
      <c r="G75" s="58"/>
      <c r="H75" s="58"/>
      <c r="I75" s="61"/>
      <c r="J75" s="58"/>
      <c r="K75" s="58"/>
      <c r="L75" s="372"/>
    </row>
    <row r="76" spans="1:12" ht="15.5" x14ac:dyDescent="0.35">
      <c r="A76" s="22"/>
      <c r="B76" s="378"/>
      <c r="C76" s="379"/>
      <c r="D76" s="58"/>
      <c r="E76" s="58"/>
      <c r="F76" s="58"/>
      <c r="G76" s="58"/>
      <c r="H76" s="58"/>
      <c r="I76" s="61"/>
      <c r="J76" s="58"/>
      <c r="K76" s="58"/>
      <c r="L76" s="372"/>
    </row>
    <row r="77" spans="1:12" ht="15.5" x14ac:dyDescent="0.35">
      <c r="A77" s="22"/>
      <c r="B77" s="378"/>
      <c r="C77" s="379"/>
      <c r="D77" s="58"/>
      <c r="E77" s="58"/>
      <c r="F77" s="58"/>
      <c r="G77" s="58"/>
      <c r="H77" s="58"/>
      <c r="I77" s="61"/>
      <c r="J77" s="58"/>
      <c r="K77" s="58"/>
      <c r="L77" s="372"/>
    </row>
    <row r="78" spans="1:12" ht="15.5" x14ac:dyDescent="0.35">
      <c r="A78" s="22"/>
      <c r="B78" s="378"/>
      <c r="C78" s="379"/>
      <c r="D78" s="58"/>
      <c r="E78" s="58"/>
      <c r="F78" s="58"/>
      <c r="G78" s="58"/>
      <c r="H78" s="58"/>
      <c r="I78" s="61"/>
      <c r="J78" s="58"/>
      <c r="K78" s="58"/>
      <c r="L78" s="372"/>
    </row>
    <row r="79" spans="1:12" ht="15.5" x14ac:dyDescent="0.35">
      <c r="A79" s="22"/>
      <c r="B79" s="376"/>
      <c r="C79" s="377"/>
      <c r="D79" s="61"/>
      <c r="E79" s="58"/>
      <c r="F79" s="58"/>
      <c r="G79" s="58"/>
      <c r="H79" s="58"/>
      <c r="I79" s="58"/>
      <c r="J79" s="58"/>
      <c r="K79" s="58"/>
      <c r="L79" s="372"/>
    </row>
    <row r="80" spans="1:12" ht="15.5" x14ac:dyDescent="0.35">
      <c r="A80" s="22"/>
      <c r="B80" s="380"/>
      <c r="C80" s="381"/>
      <c r="D80" s="388"/>
      <c r="E80" s="388"/>
      <c r="F80" s="388"/>
      <c r="G80" s="388"/>
      <c r="H80" s="388"/>
      <c r="I80" s="389"/>
      <c r="J80" s="388"/>
      <c r="K80" s="388"/>
      <c r="L80" s="373"/>
    </row>
    <row r="81" spans="1:12" ht="14" x14ac:dyDescent="0.3">
      <c r="A81" s="12"/>
      <c r="B81" s="74"/>
    </row>
    <row r="82" spans="1:12" ht="14" x14ac:dyDescent="0.3">
      <c r="A82" s="12"/>
      <c r="B82" s="74"/>
    </row>
    <row r="83" spans="1:12" ht="14" x14ac:dyDescent="0.3">
      <c r="A83" s="12"/>
      <c r="B83" s="6" t="s">
        <v>126</v>
      </c>
    </row>
    <row r="84" spans="1:12" ht="14" x14ac:dyDescent="0.3">
      <c r="A84" s="12"/>
      <c r="B84" s="71" t="s">
        <v>82</v>
      </c>
      <c r="C84" s="13"/>
      <c r="D84" s="13"/>
      <c r="E84" s="14" t="s">
        <v>83</v>
      </c>
      <c r="F84" s="15"/>
      <c r="G84" s="14" t="s">
        <v>36</v>
      </c>
      <c r="H84" s="15"/>
      <c r="I84" s="14" t="s">
        <v>35</v>
      </c>
      <c r="J84" s="15"/>
      <c r="K84" s="16" t="s">
        <v>154</v>
      </c>
      <c r="L84" s="15"/>
    </row>
    <row r="85" spans="1:12" ht="14" x14ac:dyDescent="0.3">
      <c r="A85" s="12"/>
      <c r="B85" s="72" t="s">
        <v>84</v>
      </c>
      <c r="C85" s="18"/>
      <c r="D85" s="19" t="s">
        <v>85</v>
      </c>
      <c r="E85" s="17" t="s">
        <v>34</v>
      </c>
      <c r="F85" s="20" t="s">
        <v>90</v>
      </c>
      <c r="G85" s="17" t="s">
        <v>34</v>
      </c>
      <c r="H85" s="20" t="s">
        <v>90</v>
      </c>
      <c r="I85" s="17" t="s">
        <v>34</v>
      </c>
      <c r="J85" s="20" t="s">
        <v>90</v>
      </c>
      <c r="K85" s="21" t="s">
        <v>34</v>
      </c>
      <c r="L85" s="20" t="s">
        <v>90</v>
      </c>
    </row>
    <row r="86" spans="1:12" ht="14" x14ac:dyDescent="0.3">
      <c r="A86" s="12"/>
      <c r="B86" s="96" t="s">
        <v>79</v>
      </c>
      <c r="C86" s="23"/>
      <c r="D86" s="23"/>
      <c r="E86" s="41" t="s">
        <v>91</v>
      </c>
      <c r="F86" s="25"/>
      <c r="G86" s="41" t="s">
        <v>91</v>
      </c>
      <c r="H86" s="25"/>
      <c r="I86" s="41" t="s">
        <v>91</v>
      </c>
      <c r="J86" s="25"/>
      <c r="K86" s="42" t="s">
        <v>91</v>
      </c>
      <c r="L86" s="26"/>
    </row>
    <row r="87" spans="1:12" ht="14" x14ac:dyDescent="0.3">
      <c r="A87" s="12"/>
      <c r="B87" s="97" t="s">
        <v>155</v>
      </c>
      <c r="C87" s="27"/>
      <c r="D87" s="27"/>
      <c r="E87" s="51" t="s">
        <v>91</v>
      </c>
      <c r="F87" s="28"/>
      <c r="G87" s="51" t="s">
        <v>91</v>
      </c>
      <c r="H87" s="28"/>
      <c r="I87" s="51" t="s">
        <v>91</v>
      </c>
      <c r="J87" s="28"/>
      <c r="K87" s="52" t="s">
        <v>91</v>
      </c>
      <c r="L87" s="29"/>
    </row>
    <row r="88" spans="1:12" ht="14" x14ac:dyDescent="0.3">
      <c r="A88" s="12"/>
      <c r="B88" s="98" t="s">
        <v>156</v>
      </c>
      <c r="C88" s="30"/>
      <c r="D88" s="30"/>
      <c r="E88" s="44" t="s">
        <v>91</v>
      </c>
      <c r="F88" s="32"/>
      <c r="G88" s="44" t="s">
        <v>91</v>
      </c>
      <c r="H88" s="32"/>
      <c r="I88" s="44" t="s">
        <v>91</v>
      </c>
      <c r="J88" s="32"/>
      <c r="K88" s="45" t="s">
        <v>91</v>
      </c>
      <c r="L88" s="33"/>
    </row>
    <row r="89" spans="1:12" ht="9" customHeight="1" x14ac:dyDescent="0.3">
      <c r="A89" s="12"/>
      <c r="B89" s="53"/>
      <c r="C89" s="13"/>
      <c r="D89" s="13"/>
      <c r="E89" s="13"/>
      <c r="F89" s="13"/>
      <c r="G89" s="13"/>
      <c r="H89" s="13"/>
      <c r="I89" s="13"/>
      <c r="J89" s="13"/>
      <c r="K89" s="13"/>
      <c r="L89" s="54"/>
    </row>
    <row r="90" spans="1:12" ht="14" x14ac:dyDescent="0.3">
      <c r="A90" s="12"/>
      <c r="B90" s="55" t="s">
        <v>38</v>
      </c>
      <c r="C90" s="46"/>
      <c r="D90" s="47"/>
      <c r="E90" s="48"/>
      <c r="F90" s="48"/>
      <c r="G90" s="48"/>
      <c r="H90" s="48"/>
      <c r="I90" s="48"/>
      <c r="J90" s="48"/>
      <c r="K90" s="48"/>
      <c r="L90" s="56"/>
    </row>
    <row r="91" spans="1:12" ht="15.5" x14ac:dyDescent="0.35">
      <c r="A91" s="22"/>
      <c r="B91" s="384"/>
      <c r="C91" s="375"/>
      <c r="D91" s="387"/>
      <c r="E91" s="387"/>
      <c r="F91" s="387"/>
      <c r="G91" s="387"/>
      <c r="H91" s="387"/>
      <c r="I91" s="387"/>
      <c r="J91" s="387"/>
      <c r="K91" s="387"/>
      <c r="L91" s="371"/>
    </row>
    <row r="92" spans="1:12" ht="15.5" x14ac:dyDescent="0.35">
      <c r="A92" s="22"/>
      <c r="B92" s="376"/>
      <c r="C92" s="377"/>
      <c r="D92" s="61"/>
      <c r="E92" s="58"/>
      <c r="F92" s="58"/>
      <c r="G92" s="58"/>
      <c r="H92" s="58"/>
      <c r="I92" s="58"/>
      <c r="J92" s="58"/>
      <c r="K92" s="58"/>
      <c r="L92" s="372"/>
    </row>
    <row r="93" spans="1:12" ht="15.5" x14ac:dyDescent="0.35">
      <c r="A93" s="22"/>
      <c r="B93" s="378"/>
      <c r="C93" s="379"/>
      <c r="D93" s="58"/>
      <c r="E93" s="58"/>
      <c r="F93" s="58"/>
      <c r="G93" s="58"/>
      <c r="H93" s="58"/>
      <c r="I93" s="61"/>
      <c r="J93" s="58"/>
      <c r="K93" s="58"/>
      <c r="L93" s="372"/>
    </row>
    <row r="94" spans="1:12" ht="15.5" x14ac:dyDescent="0.35">
      <c r="A94" s="22"/>
      <c r="B94" s="378"/>
      <c r="C94" s="379"/>
      <c r="D94" s="58"/>
      <c r="E94" s="58"/>
      <c r="F94" s="58"/>
      <c r="G94" s="58"/>
      <c r="H94" s="58"/>
      <c r="I94" s="61"/>
      <c r="J94" s="58"/>
      <c r="K94" s="58"/>
      <c r="L94" s="372"/>
    </row>
    <row r="95" spans="1:12" ht="15.5" x14ac:dyDescent="0.35">
      <c r="A95" s="22"/>
      <c r="B95" s="378"/>
      <c r="C95" s="379"/>
      <c r="D95" s="58"/>
      <c r="E95" s="58"/>
      <c r="F95" s="58"/>
      <c r="G95" s="58"/>
      <c r="H95" s="58"/>
      <c r="I95" s="61"/>
      <c r="J95" s="58"/>
      <c r="K95" s="58"/>
      <c r="L95" s="372"/>
    </row>
    <row r="96" spans="1:12" ht="15.5" x14ac:dyDescent="0.35">
      <c r="A96" s="22"/>
      <c r="B96" s="378"/>
      <c r="C96" s="379"/>
      <c r="D96" s="58"/>
      <c r="E96" s="58"/>
      <c r="F96" s="58"/>
      <c r="G96" s="58"/>
      <c r="H96" s="58"/>
      <c r="I96" s="61"/>
      <c r="J96" s="58"/>
      <c r="K96" s="58"/>
      <c r="L96" s="372"/>
    </row>
    <row r="97" spans="1:12" ht="15.5" x14ac:dyDescent="0.35">
      <c r="A97" s="22"/>
      <c r="B97" s="378"/>
      <c r="C97" s="379"/>
      <c r="D97" s="58"/>
      <c r="E97" s="58"/>
      <c r="F97" s="58"/>
      <c r="G97" s="58"/>
      <c r="H97" s="58"/>
      <c r="I97" s="58"/>
      <c r="J97" s="58"/>
      <c r="K97" s="58"/>
      <c r="L97" s="372"/>
    </row>
    <row r="98" spans="1:12" ht="15.5" x14ac:dyDescent="0.35">
      <c r="A98" s="22"/>
      <c r="B98" s="378"/>
      <c r="C98" s="379"/>
      <c r="D98" s="58"/>
      <c r="E98" s="58"/>
      <c r="F98" s="58"/>
      <c r="G98" s="58"/>
      <c r="H98" s="58"/>
      <c r="I98" s="58"/>
      <c r="J98" s="58"/>
      <c r="K98" s="58"/>
      <c r="L98" s="372"/>
    </row>
    <row r="99" spans="1:12" ht="15.5" x14ac:dyDescent="0.35">
      <c r="A99" s="22"/>
      <c r="B99" s="376"/>
      <c r="C99" s="379"/>
      <c r="D99" s="58"/>
      <c r="E99" s="58"/>
      <c r="F99" s="58"/>
      <c r="G99" s="58"/>
      <c r="H99" s="58"/>
      <c r="I99" s="58"/>
      <c r="J99" s="58"/>
      <c r="K99" s="58"/>
      <c r="L99" s="372"/>
    </row>
    <row r="100" spans="1:12" ht="15.5" x14ac:dyDescent="0.35">
      <c r="A100" s="22"/>
      <c r="B100" s="378"/>
      <c r="C100" s="379"/>
      <c r="D100" s="58"/>
      <c r="E100" s="58"/>
      <c r="F100" s="58"/>
      <c r="G100" s="58"/>
      <c r="H100" s="58"/>
      <c r="I100" s="58"/>
      <c r="J100" s="58"/>
      <c r="K100" s="58"/>
      <c r="L100" s="372"/>
    </row>
    <row r="101" spans="1:12" ht="15.5" x14ac:dyDescent="0.35">
      <c r="A101" s="22"/>
      <c r="B101" s="378"/>
      <c r="C101" s="379"/>
      <c r="D101" s="58"/>
      <c r="E101" s="58"/>
      <c r="F101" s="58"/>
      <c r="G101" s="58"/>
      <c r="H101" s="58"/>
      <c r="I101" s="61"/>
      <c r="J101" s="58"/>
      <c r="K101" s="58"/>
      <c r="L101" s="372"/>
    </row>
    <row r="102" spans="1:12" ht="15.5" x14ac:dyDescent="0.35">
      <c r="A102" s="22"/>
      <c r="B102" s="376"/>
      <c r="C102" s="377"/>
      <c r="D102" s="61"/>
      <c r="E102" s="58"/>
      <c r="F102" s="58"/>
      <c r="G102" s="58"/>
      <c r="H102" s="58"/>
      <c r="I102" s="58"/>
      <c r="J102" s="58"/>
      <c r="K102" s="58"/>
      <c r="L102" s="372"/>
    </row>
    <row r="103" spans="1:12" ht="15.5" x14ac:dyDescent="0.35">
      <c r="A103" s="22"/>
      <c r="B103" s="376"/>
      <c r="C103" s="379"/>
      <c r="D103" s="58"/>
      <c r="E103" s="58"/>
      <c r="F103" s="58"/>
      <c r="G103" s="58"/>
      <c r="H103" s="58"/>
      <c r="I103" s="61"/>
      <c r="J103" s="58"/>
      <c r="K103" s="58"/>
      <c r="L103" s="372"/>
    </row>
    <row r="104" spans="1:12" ht="15.5" x14ac:dyDescent="0.35">
      <c r="A104" s="22"/>
      <c r="B104" s="380"/>
      <c r="C104" s="381"/>
      <c r="D104" s="388"/>
      <c r="E104" s="388"/>
      <c r="F104" s="388"/>
      <c r="G104" s="388"/>
      <c r="H104" s="388"/>
      <c r="I104" s="389"/>
      <c r="J104" s="388"/>
      <c r="K104" s="388"/>
      <c r="L104" s="373"/>
    </row>
  </sheetData>
  <phoneticPr fontId="15" type="noConversion"/>
  <pageMargins left="0.74803149606299213" right="0.35433070866141736" top="0.31496062992125984" bottom="0.31496062992125984" header="0.51181102362204722" footer="0.19685039370078741"/>
  <pageSetup paperSize="9" orientation="portrait" horizontalDpi="300" verticalDpi="300" r:id="rId1"/>
  <headerFooter alignWithMargins="0">
    <oddFooter>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3"/>
  <sheetViews>
    <sheetView showGridLines="0" workbookViewId="0"/>
  </sheetViews>
  <sheetFormatPr baseColWidth="10" defaultColWidth="11.453125" defaultRowHeight="12.5" x14ac:dyDescent="0.25"/>
  <cols>
    <col min="1" max="1" width="1.54296875" style="99" customWidth="1"/>
    <col min="2" max="2" width="4.81640625" style="99" customWidth="1"/>
    <col min="3" max="3" width="7.1796875" style="99" customWidth="1"/>
    <col min="4" max="4" width="13.26953125" style="99" customWidth="1"/>
    <col min="5" max="12" width="9.1796875" style="99" customWidth="1"/>
    <col min="13" max="13" width="3.26953125" style="99" customWidth="1"/>
    <col min="14" max="15" width="9" style="99" customWidth="1"/>
    <col min="16" max="16" width="7" style="99" customWidth="1"/>
    <col min="17" max="16384" width="11.453125" style="99"/>
  </cols>
  <sheetData>
    <row r="1" spans="1:12" ht="7.5" customHeight="1" x14ac:dyDescent="0.25"/>
    <row r="2" spans="1:12" ht="14" x14ac:dyDescent="0.3">
      <c r="A2" s="100"/>
      <c r="B2" s="101" t="s">
        <v>107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ht="14" x14ac:dyDescent="0.3">
      <c r="A3" s="100"/>
      <c r="B3" s="103" t="s">
        <v>85</v>
      </c>
      <c r="C3" s="104"/>
      <c r="D3" s="105" t="s">
        <v>101</v>
      </c>
      <c r="E3" s="106" t="s">
        <v>83</v>
      </c>
      <c r="F3" s="107"/>
      <c r="G3" s="106" t="s">
        <v>102</v>
      </c>
      <c r="H3" s="107"/>
      <c r="I3" s="106" t="s">
        <v>103</v>
      </c>
      <c r="J3" s="107"/>
      <c r="K3" s="108" t="s">
        <v>104</v>
      </c>
      <c r="L3" s="107"/>
    </row>
    <row r="4" spans="1:12" ht="14" x14ac:dyDescent="0.3">
      <c r="A4" s="100"/>
      <c r="B4" s="109" t="s">
        <v>10</v>
      </c>
      <c r="C4" s="110"/>
      <c r="D4" s="110" t="s">
        <v>105</v>
      </c>
      <c r="E4" s="111">
        <v>485</v>
      </c>
      <c r="F4" s="112" t="s">
        <v>41</v>
      </c>
      <c r="G4" s="111">
        <v>410</v>
      </c>
      <c r="H4" s="112" t="s">
        <v>41</v>
      </c>
      <c r="I4" s="113">
        <v>7.5</v>
      </c>
      <c r="J4" s="114" t="s">
        <v>26</v>
      </c>
      <c r="K4" s="115">
        <v>1</v>
      </c>
      <c r="L4" s="114" t="s">
        <v>86</v>
      </c>
    </row>
    <row r="5" spans="1:12" ht="14" x14ac:dyDescent="0.3">
      <c r="A5" s="100"/>
      <c r="B5" s="116" t="s">
        <v>25</v>
      </c>
      <c r="C5" s="117"/>
      <c r="D5" s="117" t="s">
        <v>105</v>
      </c>
      <c r="E5" s="118">
        <v>430</v>
      </c>
      <c r="F5" s="119" t="s">
        <v>41</v>
      </c>
      <c r="G5" s="118">
        <v>390</v>
      </c>
      <c r="H5" s="119" t="s">
        <v>41</v>
      </c>
      <c r="I5" s="120">
        <v>7</v>
      </c>
      <c r="J5" s="121" t="s">
        <v>26</v>
      </c>
      <c r="K5" s="122">
        <v>1</v>
      </c>
      <c r="L5" s="121" t="s">
        <v>86</v>
      </c>
    </row>
    <row r="6" spans="1:12" ht="14" x14ac:dyDescent="0.3">
      <c r="A6" s="100"/>
      <c r="B6" s="123" t="s">
        <v>87</v>
      </c>
      <c r="C6" s="124"/>
      <c r="D6" s="124" t="s">
        <v>106</v>
      </c>
      <c r="E6" s="125">
        <v>550</v>
      </c>
      <c r="F6" s="126" t="s">
        <v>41</v>
      </c>
      <c r="G6" s="125">
        <v>420</v>
      </c>
      <c r="H6" s="126" t="s">
        <v>41</v>
      </c>
      <c r="I6" s="127">
        <v>16</v>
      </c>
      <c r="J6" s="128" t="s">
        <v>26</v>
      </c>
      <c r="K6" s="129">
        <v>0</v>
      </c>
      <c r="L6" s="128" t="s">
        <v>86</v>
      </c>
    </row>
    <row r="7" spans="1:12" ht="14" x14ac:dyDescent="0.3">
      <c r="A7" s="100"/>
      <c r="C7" s="102"/>
      <c r="D7" s="102"/>
      <c r="E7" s="102"/>
      <c r="F7" s="102"/>
      <c r="G7" s="102"/>
      <c r="H7" s="102"/>
      <c r="I7" s="102"/>
      <c r="J7" s="102"/>
      <c r="K7" s="102"/>
      <c r="L7" s="130" t="s">
        <v>37</v>
      </c>
    </row>
    <row r="8" spans="1:12" ht="14" x14ac:dyDescent="0.3">
      <c r="A8" s="100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</row>
    <row r="9" spans="1:12" ht="14" x14ac:dyDescent="0.3">
      <c r="A9" s="100"/>
      <c r="B9" s="101" t="s">
        <v>81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2" ht="14" x14ac:dyDescent="0.3">
      <c r="A10" s="100"/>
      <c r="B10" s="131" t="s">
        <v>82</v>
      </c>
      <c r="C10" s="104"/>
      <c r="D10" s="104"/>
      <c r="E10" s="106" t="s">
        <v>83</v>
      </c>
      <c r="F10" s="107"/>
      <c r="G10" s="106" t="s">
        <v>36</v>
      </c>
      <c r="H10" s="107"/>
      <c r="I10" s="106" t="s">
        <v>35</v>
      </c>
      <c r="J10" s="107"/>
      <c r="K10" s="108" t="s">
        <v>154</v>
      </c>
      <c r="L10" s="107"/>
    </row>
    <row r="11" spans="1:12" ht="14" x14ac:dyDescent="0.3">
      <c r="A11" s="100"/>
      <c r="B11" s="132" t="s">
        <v>84</v>
      </c>
      <c r="C11" s="133"/>
      <c r="D11" s="134" t="s">
        <v>85</v>
      </c>
      <c r="E11" s="135" t="s">
        <v>34</v>
      </c>
      <c r="F11" s="136" t="s">
        <v>90</v>
      </c>
      <c r="G11" s="135" t="s">
        <v>34</v>
      </c>
      <c r="H11" s="136" t="s">
        <v>90</v>
      </c>
      <c r="I11" s="135" t="s">
        <v>34</v>
      </c>
      <c r="J11" s="136" t="s">
        <v>90</v>
      </c>
      <c r="K11" s="137" t="s">
        <v>34</v>
      </c>
      <c r="L11" s="136" t="s">
        <v>90</v>
      </c>
    </row>
    <row r="12" spans="1:12" ht="14" x14ac:dyDescent="0.3">
      <c r="A12" s="100"/>
      <c r="B12" s="115">
        <v>70</v>
      </c>
      <c r="C12" s="110" t="s">
        <v>86</v>
      </c>
      <c r="D12" s="110" t="str">
        <f>B4</f>
        <v>Winterweizen</v>
      </c>
      <c r="E12" s="138">
        <f>E4</f>
        <v>485</v>
      </c>
      <c r="F12" s="139">
        <f>B12*E12</f>
        <v>33950</v>
      </c>
      <c r="G12" s="138">
        <f>G4</f>
        <v>410</v>
      </c>
      <c r="H12" s="139">
        <f>B12*G12</f>
        <v>28700</v>
      </c>
      <c r="I12" s="140">
        <f>I4</f>
        <v>7.5</v>
      </c>
      <c r="J12" s="141">
        <f>B12*I12</f>
        <v>525</v>
      </c>
      <c r="K12" s="142">
        <f>K4</f>
        <v>1</v>
      </c>
      <c r="L12" s="143">
        <f>K12*B12</f>
        <v>70</v>
      </c>
    </row>
    <row r="13" spans="1:12" ht="14" x14ac:dyDescent="0.3">
      <c r="A13" s="100"/>
      <c r="B13" s="122">
        <v>30</v>
      </c>
      <c r="C13" s="117" t="s">
        <v>86</v>
      </c>
      <c r="D13" s="117" t="str">
        <f>B5</f>
        <v>Winterraps</v>
      </c>
      <c r="E13" s="144">
        <f>E5</f>
        <v>430</v>
      </c>
      <c r="F13" s="145">
        <f>B13*E13</f>
        <v>12900</v>
      </c>
      <c r="G13" s="144">
        <f>G5</f>
        <v>390</v>
      </c>
      <c r="H13" s="145">
        <f>B13*G13</f>
        <v>11700</v>
      </c>
      <c r="I13" s="146">
        <f>I5</f>
        <v>7</v>
      </c>
      <c r="J13" s="147">
        <f>B13*I13</f>
        <v>210</v>
      </c>
      <c r="K13" s="148">
        <f>K5</f>
        <v>1</v>
      </c>
      <c r="L13" s="149">
        <f>K13*B13</f>
        <v>30</v>
      </c>
    </row>
    <row r="14" spans="1:12" ht="14" x14ac:dyDescent="0.3">
      <c r="A14" s="100"/>
      <c r="B14" s="129">
        <v>120</v>
      </c>
      <c r="C14" s="124" t="s">
        <v>51</v>
      </c>
      <c r="D14" s="124" t="str">
        <f>B6</f>
        <v>Zuchtsauen</v>
      </c>
      <c r="E14" s="150">
        <f>E6</f>
        <v>550</v>
      </c>
      <c r="F14" s="151">
        <f>B14*E14</f>
        <v>66000</v>
      </c>
      <c r="G14" s="150">
        <f>G6</f>
        <v>420</v>
      </c>
      <c r="H14" s="151">
        <f>B14*G14</f>
        <v>50400</v>
      </c>
      <c r="I14" s="152">
        <f>I6</f>
        <v>16</v>
      </c>
      <c r="J14" s="153">
        <f>B14*I14</f>
        <v>1920</v>
      </c>
      <c r="K14" s="154">
        <f>K6</f>
        <v>0</v>
      </c>
      <c r="L14" s="155">
        <f>K14*B14</f>
        <v>0</v>
      </c>
    </row>
    <row r="15" spans="1:12" ht="14" x14ac:dyDescent="0.3">
      <c r="A15" s="100"/>
      <c r="B15" s="156" t="s">
        <v>92</v>
      </c>
      <c r="C15" s="134"/>
      <c r="D15" s="134"/>
      <c r="E15" s="157" t="s">
        <v>91</v>
      </c>
      <c r="F15" s="158">
        <f>SUM(F12:F14)</f>
        <v>112850</v>
      </c>
      <c r="G15" s="157" t="s">
        <v>91</v>
      </c>
      <c r="H15" s="158">
        <f>SUM(H12:H14)</f>
        <v>90800</v>
      </c>
      <c r="I15" s="157" t="s">
        <v>91</v>
      </c>
      <c r="J15" s="159">
        <f>SUM(J12:J14)</f>
        <v>2655</v>
      </c>
      <c r="K15" s="160" t="s">
        <v>91</v>
      </c>
      <c r="L15" s="159">
        <f>SUM(L12:L14)</f>
        <v>100</v>
      </c>
    </row>
    <row r="16" spans="1:12" ht="14" x14ac:dyDescent="0.3">
      <c r="A16" s="100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</row>
    <row r="17" spans="1:18" ht="14" x14ac:dyDescent="0.3">
      <c r="A17" s="100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1:18" ht="14" x14ac:dyDescent="0.3">
      <c r="A18" s="100"/>
      <c r="B18" s="101" t="s">
        <v>152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1:18" ht="14" x14ac:dyDescent="0.3">
      <c r="A19" s="100"/>
      <c r="B19" s="131" t="s">
        <v>82</v>
      </c>
      <c r="C19" s="104"/>
      <c r="D19" s="104"/>
      <c r="E19" s="106" t="s">
        <v>83</v>
      </c>
      <c r="F19" s="107"/>
      <c r="G19" s="106" t="s">
        <v>36</v>
      </c>
      <c r="H19" s="107"/>
      <c r="I19" s="106" t="s">
        <v>35</v>
      </c>
      <c r="J19" s="107"/>
      <c r="K19" s="108" t="s">
        <v>154</v>
      </c>
      <c r="L19" s="107"/>
    </row>
    <row r="20" spans="1:18" ht="14" x14ac:dyDescent="0.3">
      <c r="A20" s="100"/>
      <c r="B20" s="132" t="s">
        <v>84</v>
      </c>
      <c r="C20" s="133"/>
      <c r="D20" s="134" t="s">
        <v>85</v>
      </c>
      <c r="E20" s="135" t="s">
        <v>34</v>
      </c>
      <c r="F20" s="136" t="s">
        <v>90</v>
      </c>
      <c r="G20" s="135" t="s">
        <v>34</v>
      </c>
      <c r="H20" s="136" t="s">
        <v>90</v>
      </c>
      <c r="I20" s="135" t="s">
        <v>34</v>
      </c>
      <c r="J20" s="136" t="s">
        <v>90</v>
      </c>
      <c r="K20" s="137" t="s">
        <v>34</v>
      </c>
      <c r="L20" s="136" t="s">
        <v>90</v>
      </c>
    </row>
    <row r="21" spans="1:18" ht="14" x14ac:dyDescent="0.3">
      <c r="A21" s="100"/>
      <c r="B21" s="161">
        <f>L15-B22-B23</f>
        <v>60</v>
      </c>
      <c r="C21" s="110" t="s">
        <v>86</v>
      </c>
      <c r="D21" s="110" t="str">
        <f>D12</f>
        <v>Winterweizen</v>
      </c>
      <c r="E21" s="162">
        <f>ROUND(E12*1.1,-1)</f>
        <v>530</v>
      </c>
      <c r="F21" s="163">
        <f>B21*E21</f>
        <v>31800</v>
      </c>
      <c r="G21" s="162">
        <f>ROUND(G12*1.05,-1)</f>
        <v>430</v>
      </c>
      <c r="H21" s="163">
        <f>B21*G21</f>
        <v>25800</v>
      </c>
      <c r="I21" s="164">
        <f>I12+0.1</f>
        <v>7.6</v>
      </c>
      <c r="J21" s="143">
        <f>B21*I21</f>
        <v>456</v>
      </c>
      <c r="K21" s="142">
        <v>1</v>
      </c>
      <c r="L21" s="143">
        <f>K21*B21</f>
        <v>60</v>
      </c>
    </row>
    <row r="22" spans="1:18" ht="14" x14ac:dyDescent="0.3">
      <c r="A22" s="100"/>
      <c r="B22" s="122">
        <v>10</v>
      </c>
      <c r="C22" s="117" t="s">
        <v>86</v>
      </c>
      <c r="D22" s="117" t="str">
        <f>D13</f>
        <v>Winterraps</v>
      </c>
      <c r="E22" s="165">
        <f>ROUND(E13*1.1,-1)</f>
        <v>470</v>
      </c>
      <c r="F22" s="166">
        <f>B22*E22</f>
        <v>4700</v>
      </c>
      <c r="G22" s="165">
        <f>ROUND(G13*1.05,-1)</f>
        <v>410</v>
      </c>
      <c r="H22" s="166">
        <f>B22*G22</f>
        <v>4100</v>
      </c>
      <c r="I22" s="167">
        <f>I13+0.2</f>
        <v>7.2</v>
      </c>
      <c r="J22" s="149">
        <f>B22*I22</f>
        <v>72</v>
      </c>
      <c r="K22" s="148">
        <v>1</v>
      </c>
      <c r="L22" s="149">
        <f>K22*B22</f>
        <v>10</v>
      </c>
    </row>
    <row r="23" spans="1:18" ht="14" x14ac:dyDescent="0.3">
      <c r="A23" s="100"/>
      <c r="B23" s="168">
        <v>30</v>
      </c>
      <c r="C23" s="169" t="s">
        <v>86</v>
      </c>
      <c r="D23" s="169" t="s">
        <v>39</v>
      </c>
      <c r="E23" s="170">
        <v>500</v>
      </c>
      <c r="F23" s="166">
        <f>B23*E23</f>
        <v>15000</v>
      </c>
      <c r="G23" s="144">
        <f>(H15-SUM(H21:H22,H24))/$B$23</f>
        <v>270</v>
      </c>
      <c r="H23" s="166">
        <f>B23*G23</f>
        <v>8100</v>
      </c>
      <c r="I23" s="146">
        <f>(J15-SUM(J21:J22,J24))/$B$23</f>
        <v>2.9</v>
      </c>
      <c r="J23" s="149">
        <f>B23*I23</f>
        <v>87</v>
      </c>
      <c r="K23" s="148">
        <v>1</v>
      </c>
      <c r="L23" s="149">
        <f>K23*B23</f>
        <v>30</v>
      </c>
      <c r="N23" s="171" t="s">
        <v>172</v>
      </c>
    </row>
    <row r="24" spans="1:18" ht="14" x14ac:dyDescent="0.3">
      <c r="A24" s="100"/>
      <c r="B24" s="172">
        <f>B14</f>
        <v>120</v>
      </c>
      <c r="C24" s="124" t="s">
        <v>51</v>
      </c>
      <c r="D24" s="124" t="str">
        <f>D14</f>
        <v>Zuchtsauen</v>
      </c>
      <c r="E24" s="173">
        <f>ROUND(E14*1.1,-1)</f>
        <v>610</v>
      </c>
      <c r="F24" s="174">
        <f>B24*E24</f>
        <v>73200</v>
      </c>
      <c r="G24" s="173">
        <f>ROUND(G14*1.05,-1)</f>
        <v>440</v>
      </c>
      <c r="H24" s="174">
        <f>B24*G24</f>
        <v>52800</v>
      </c>
      <c r="I24" s="175">
        <f>I14+1</f>
        <v>17</v>
      </c>
      <c r="J24" s="155">
        <f>B24*I24</f>
        <v>2040</v>
      </c>
      <c r="K24" s="154">
        <v>0</v>
      </c>
      <c r="L24" s="155">
        <f>K24*B24</f>
        <v>0</v>
      </c>
    </row>
    <row r="25" spans="1:18" ht="14" x14ac:dyDescent="0.3">
      <c r="A25" s="100"/>
      <c r="B25" s="176" t="s">
        <v>92</v>
      </c>
      <c r="C25" s="110"/>
      <c r="D25" s="110"/>
      <c r="E25" s="177" t="s">
        <v>91</v>
      </c>
      <c r="F25" s="163">
        <f>SUM(F21:F24)</f>
        <v>124700</v>
      </c>
      <c r="G25" s="177" t="s">
        <v>91</v>
      </c>
      <c r="H25" s="163">
        <f>H15+H26</f>
        <v>90800</v>
      </c>
      <c r="I25" s="177" t="s">
        <v>91</v>
      </c>
      <c r="J25" s="143">
        <f>J15+J26</f>
        <v>2655</v>
      </c>
      <c r="K25" s="178" t="s">
        <v>91</v>
      </c>
      <c r="L25" s="143">
        <f>SUM(L21:L24)</f>
        <v>100</v>
      </c>
    </row>
    <row r="26" spans="1:18" ht="14" x14ac:dyDescent="0.3">
      <c r="A26" s="100"/>
      <c r="B26" s="179" t="s">
        <v>155</v>
      </c>
      <c r="C26" s="124"/>
      <c r="D26" s="124"/>
      <c r="E26" s="180" t="s">
        <v>91</v>
      </c>
      <c r="F26" s="174">
        <f>F25-F$15</f>
        <v>11850</v>
      </c>
      <c r="G26" s="180" t="s">
        <v>91</v>
      </c>
      <c r="H26" s="181"/>
      <c r="I26" s="180" t="s">
        <v>91</v>
      </c>
      <c r="J26" s="182"/>
      <c r="K26" s="183" t="s">
        <v>91</v>
      </c>
      <c r="L26" s="155">
        <f>L25-L$15</f>
        <v>0</v>
      </c>
      <c r="N26" s="171" t="s">
        <v>71</v>
      </c>
    </row>
    <row r="27" spans="1:18" ht="14" x14ac:dyDescent="0.3">
      <c r="A27" s="100"/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6"/>
    </row>
    <row r="28" spans="1:18" ht="14" x14ac:dyDescent="0.3">
      <c r="A28" s="100"/>
      <c r="B28" s="187" t="s">
        <v>38</v>
      </c>
      <c r="C28" s="188"/>
      <c r="D28" s="189"/>
      <c r="E28" s="190"/>
      <c r="F28" s="190"/>
      <c r="G28" s="190"/>
      <c r="I28" s="191" t="s">
        <v>173</v>
      </c>
      <c r="J28" s="192" t="s">
        <v>33</v>
      </c>
      <c r="K28" s="192"/>
      <c r="L28" s="193" t="s">
        <v>174</v>
      </c>
    </row>
    <row r="29" spans="1:18" ht="14" x14ac:dyDescent="0.3">
      <c r="A29" s="100"/>
      <c r="B29" s="194" t="s">
        <v>93</v>
      </c>
      <c r="C29" s="188"/>
      <c r="D29" s="195"/>
      <c r="E29" s="190"/>
      <c r="F29" s="196"/>
      <c r="G29" s="196"/>
      <c r="H29" s="188"/>
      <c r="I29" s="188"/>
      <c r="J29" s="188"/>
      <c r="K29" s="188"/>
      <c r="L29" s="197">
        <f>F25</f>
        <v>124700</v>
      </c>
    </row>
    <row r="30" spans="1:18" ht="14" x14ac:dyDescent="0.3">
      <c r="A30" s="100"/>
      <c r="B30" s="198" t="s">
        <v>66</v>
      </c>
      <c r="C30" s="199"/>
      <c r="D30" s="199"/>
      <c r="E30" s="190"/>
      <c r="F30" s="196"/>
      <c r="G30" s="196"/>
      <c r="H30" s="200">
        <f>H26</f>
        <v>0</v>
      </c>
      <c r="I30" s="201" t="s">
        <v>175</v>
      </c>
      <c r="J30" s="202">
        <v>5</v>
      </c>
      <c r="K30" s="203" t="s">
        <v>68</v>
      </c>
      <c r="L30" s="197">
        <f>-H30*J30%</f>
        <v>0</v>
      </c>
      <c r="R30" s="204"/>
    </row>
    <row r="31" spans="1:18" ht="14" x14ac:dyDescent="0.3">
      <c r="A31" s="100"/>
      <c r="B31" s="205" t="s">
        <v>31</v>
      </c>
      <c r="C31" s="195"/>
      <c r="D31" s="195"/>
      <c r="E31" s="190"/>
      <c r="F31" s="196"/>
      <c r="G31" s="196"/>
      <c r="H31" s="206">
        <f>J26</f>
        <v>0</v>
      </c>
      <c r="I31" s="201" t="s">
        <v>176</v>
      </c>
      <c r="J31" s="202">
        <v>12</v>
      </c>
      <c r="K31" s="203" t="s">
        <v>177</v>
      </c>
      <c r="L31" s="197">
        <f>-H31*J31</f>
        <v>0</v>
      </c>
    </row>
    <row r="32" spans="1:18" ht="14" x14ac:dyDescent="0.3">
      <c r="A32" s="100"/>
      <c r="B32" s="205" t="s">
        <v>32</v>
      </c>
      <c r="C32" s="195"/>
      <c r="D32" s="195"/>
      <c r="E32" s="190"/>
      <c r="F32" s="196"/>
      <c r="G32" s="196"/>
      <c r="H32" s="207">
        <f>L26</f>
        <v>0</v>
      </c>
      <c r="I32" s="201" t="s">
        <v>178</v>
      </c>
      <c r="J32" s="202">
        <v>420</v>
      </c>
      <c r="K32" s="203" t="s">
        <v>179</v>
      </c>
      <c r="L32" s="197">
        <f>-H32*J32</f>
        <v>0</v>
      </c>
    </row>
    <row r="33" spans="1:12" ht="14" x14ac:dyDescent="0.3">
      <c r="A33" s="100"/>
      <c r="B33" s="208" t="s">
        <v>30</v>
      </c>
      <c r="C33" s="209"/>
      <c r="D33" s="209"/>
      <c r="E33" s="210"/>
      <c r="F33" s="211"/>
      <c r="G33" s="211"/>
      <c r="H33" s="212"/>
      <c r="I33" s="213"/>
      <c r="J33" s="213"/>
      <c r="K33" s="214"/>
      <c r="L33" s="215">
        <v>0</v>
      </c>
    </row>
    <row r="34" spans="1:12" ht="14" x14ac:dyDescent="0.3">
      <c r="A34" s="100"/>
      <c r="B34" s="216" t="s">
        <v>12</v>
      </c>
      <c r="C34" s="217"/>
      <c r="D34" s="217"/>
      <c r="E34" s="218"/>
      <c r="F34" s="219"/>
      <c r="G34" s="219"/>
      <c r="H34" s="219"/>
      <c r="I34" s="219"/>
      <c r="J34" s="219"/>
      <c r="K34" s="220"/>
      <c r="L34" s="221">
        <f>SUM(L29:L33)</f>
        <v>124700</v>
      </c>
    </row>
    <row r="35" spans="1:12" ht="14" x14ac:dyDescent="0.3">
      <c r="A35" s="100"/>
      <c r="B35" s="222" t="s">
        <v>67</v>
      </c>
      <c r="C35" s="223"/>
      <c r="D35" s="224"/>
      <c r="E35" s="223"/>
      <c r="F35" s="223"/>
      <c r="G35" s="223"/>
      <c r="H35" s="225"/>
      <c r="I35" s="223"/>
      <c r="J35" s="223"/>
      <c r="K35" s="223"/>
      <c r="L35" s="226">
        <f>L34-F15</f>
        <v>11850</v>
      </c>
    </row>
    <row r="36" spans="1:12" ht="14" x14ac:dyDescent="0.3">
      <c r="A36" s="100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</row>
    <row r="37" spans="1:12" ht="14" x14ac:dyDescent="0.3">
      <c r="A37" s="100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</row>
    <row r="38" spans="1:12" ht="14" x14ac:dyDescent="0.3">
      <c r="A38" s="100"/>
      <c r="B38" s="101" t="s">
        <v>153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</row>
    <row r="39" spans="1:12" ht="14" x14ac:dyDescent="0.3">
      <c r="A39" s="100"/>
      <c r="B39" s="131" t="s">
        <v>82</v>
      </c>
      <c r="C39" s="104"/>
      <c r="D39" s="104"/>
      <c r="E39" s="106" t="s">
        <v>83</v>
      </c>
      <c r="F39" s="107"/>
      <c r="G39" s="106" t="s">
        <v>36</v>
      </c>
      <c r="H39" s="107"/>
      <c r="I39" s="106" t="s">
        <v>35</v>
      </c>
      <c r="J39" s="107"/>
      <c r="K39" s="108" t="s">
        <v>154</v>
      </c>
      <c r="L39" s="107"/>
    </row>
    <row r="40" spans="1:12" ht="14" x14ac:dyDescent="0.3">
      <c r="A40" s="100"/>
      <c r="B40" s="132" t="s">
        <v>84</v>
      </c>
      <c r="C40" s="133"/>
      <c r="D40" s="134" t="s">
        <v>85</v>
      </c>
      <c r="E40" s="135" t="s">
        <v>34</v>
      </c>
      <c r="F40" s="136" t="s">
        <v>90</v>
      </c>
      <c r="G40" s="135" t="s">
        <v>34</v>
      </c>
      <c r="H40" s="136" t="s">
        <v>90</v>
      </c>
      <c r="I40" s="135" t="s">
        <v>34</v>
      </c>
      <c r="J40" s="136" t="s">
        <v>90</v>
      </c>
      <c r="K40" s="137" t="s">
        <v>34</v>
      </c>
      <c r="L40" s="136" t="s">
        <v>90</v>
      </c>
    </row>
    <row r="41" spans="1:12" ht="14" x14ac:dyDescent="0.3">
      <c r="A41" s="100"/>
      <c r="B41" s="115">
        <f>B21+10</f>
        <v>70</v>
      </c>
      <c r="C41" s="110" t="s">
        <v>86</v>
      </c>
      <c r="D41" s="110" t="str">
        <f t="shared" ref="D41:E44" si="0">D21</f>
        <v>Winterweizen</v>
      </c>
      <c r="E41" s="138">
        <f t="shared" si="0"/>
        <v>530</v>
      </c>
      <c r="F41" s="139">
        <f>B41*E41</f>
        <v>37100</v>
      </c>
      <c r="G41" s="138">
        <f>G21</f>
        <v>430</v>
      </c>
      <c r="H41" s="139">
        <f>B41*G41</f>
        <v>30100</v>
      </c>
      <c r="I41" s="140">
        <f>I21</f>
        <v>7.6</v>
      </c>
      <c r="J41" s="141">
        <f>B41*I41</f>
        <v>532</v>
      </c>
      <c r="K41" s="142">
        <f>K21</f>
        <v>1</v>
      </c>
      <c r="L41" s="141">
        <f>K41*B41</f>
        <v>70</v>
      </c>
    </row>
    <row r="42" spans="1:12" ht="14" x14ac:dyDescent="0.3">
      <c r="A42" s="100"/>
      <c r="B42" s="122">
        <f>B22+10</f>
        <v>20</v>
      </c>
      <c r="C42" s="117" t="s">
        <v>86</v>
      </c>
      <c r="D42" s="117" t="str">
        <f t="shared" si="0"/>
        <v>Winterraps</v>
      </c>
      <c r="E42" s="144">
        <f t="shared" si="0"/>
        <v>470</v>
      </c>
      <c r="F42" s="145">
        <f>B42*E42</f>
        <v>9400</v>
      </c>
      <c r="G42" s="144">
        <f>G22</f>
        <v>410</v>
      </c>
      <c r="H42" s="145">
        <f>B42*G42</f>
        <v>8200</v>
      </c>
      <c r="I42" s="146">
        <f>I22</f>
        <v>7.2</v>
      </c>
      <c r="J42" s="147">
        <f>B42*I42</f>
        <v>144</v>
      </c>
      <c r="K42" s="148">
        <f>K22</f>
        <v>1</v>
      </c>
      <c r="L42" s="147">
        <f>K42*B42</f>
        <v>20</v>
      </c>
    </row>
    <row r="43" spans="1:12" ht="14" x14ac:dyDescent="0.3">
      <c r="A43" s="100"/>
      <c r="B43" s="122">
        <f>B23+10</f>
        <v>40</v>
      </c>
      <c r="C43" s="117" t="s">
        <v>86</v>
      </c>
      <c r="D43" s="117" t="str">
        <f t="shared" si="0"/>
        <v>Sonnenblumen</v>
      </c>
      <c r="E43" s="144">
        <f t="shared" si="0"/>
        <v>500</v>
      </c>
      <c r="F43" s="145">
        <f>B43*E43</f>
        <v>20000</v>
      </c>
      <c r="G43" s="144">
        <f>G23</f>
        <v>270</v>
      </c>
      <c r="H43" s="145">
        <f>B43*G43</f>
        <v>10800</v>
      </c>
      <c r="I43" s="146">
        <f>I23</f>
        <v>2.9</v>
      </c>
      <c r="J43" s="147">
        <f>B43*I43</f>
        <v>116</v>
      </c>
      <c r="K43" s="148">
        <f>K23</f>
        <v>1</v>
      </c>
      <c r="L43" s="147">
        <f>K43*B43</f>
        <v>40</v>
      </c>
    </row>
    <row r="44" spans="1:12" ht="14" x14ac:dyDescent="0.3">
      <c r="A44" s="100"/>
      <c r="B44" s="227">
        <f>B24</f>
        <v>120</v>
      </c>
      <c r="C44" s="169" t="s">
        <v>51</v>
      </c>
      <c r="D44" s="169" t="str">
        <f t="shared" si="0"/>
        <v>Zuchtsauen</v>
      </c>
      <c r="E44" s="228">
        <f t="shared" si="0"/>
        <v>610</v>
      </c>
      <c r="F44" s="145">
        <f>B44*E44</f>
        <v>73200</v>
      </c>
      <c r="G44" s="228">
        <f>G24</f>
        <v>440</v>
      </c>
      <c r="H44" s="145">
        <f>B44*G44</f>
        <v>52800</v>
      </c>
      <c r="I44" s="229">
        <f>I24</f>
        <v>17</v>
      </c>
      <c r="J44" s="147">
        <f>B44*I44</f>
        <v>2040</v>
      </c>
      <c r="K44" s="230">
        <f>K24</f>
        <v>0</v>
      </c>
      <c r="L44" s="147">
        <f>K44*B44</f>
        <v>0</v>
      </c>
    </row>
    <row r="45" spans="1:12" ht="14" x14ac:dyDescent="0.3">
      <c r="A45" s="100"/>
      <c r="B45" s="129">
        <v>1200</v>
      </c>
      <c r="C45" s="124" t="s">
        <v>88</v>
      </c>
      <c r="D45" s="124" t="s">
        <v>89</v>
      </c>
      <c r="E45" s="173">
        <v>60</v>
      </c>
      <c r="F45" s="174">
        <f>B45*E45</f>
        <v>72000</v>
      </c>
      <c r="G45" s="173">
        <v>85</v>
      </c>
      <c r="H45" s="174">
        <f>B45*G45</f>
        <v>102000</v>
      </c>
      <c r="I45" s="175">
        <v>1.5</v>
      </c>
      <c r="J45" s="155">
        <f>B45*I45</f>
        <v>1800</v>
      </c>
      <c r="K45" s="231">
        <v>0</v>
      </c>
      <c r="L45" s="155">
        <f>K45*B45</f>
        <v>0</v>
      </c>
    </row>
    <row r="46" spans="1:12" ht="14" x14ac:dyDescent="0.3">
      <c r="A46" s="100"/>
      <c r="B46" s="232" t="s">
        <v>92</v>
      </c>
      <c r="C46" s="233"/>
      <c r="D46" s="233"/>
      <c r="E46" s="234" t="s">
        <v>91</v>
      </c>
      <c r="F46" s="235">
        <f>SUM(F41:F45)</f>
        <v>211700</v>
      </c>
      <c r="G46" s="234" t="s">
        <v>91</v>
      </c>
      <c r="H46" s="235">
        <f>SUM(H41:H45)</f>
        <v>203900</v>
      </c>
      <c r="I46" s="234" t="s">
        <v>91</v>
      </c>
      <c r="J46" s="236">
        <f>SUM(J41:J45)</f>
        <v>4632</v>
      </c>
      <c r="K46" s="237" t="s">
        <v>91</v>
      </c>
      <c r="L46" s="236">
        <f>SUM(L41:L45)</f>
        <v>130</v>
      </c>
    </row>
    <row r="47" spans="1:12" ht="14" x14ac:dyDescent="0.3">
      <c r="A47" s="100"/>
      <c r="B47" s="238" t="s">
        <v>155</v>
      </c>
      <c r="C47" s="209"/>
      <c r="D47" s="209"/>
      <c r="E47" s="239" t="s">
        <v>91</v>
      </c>
      <c r="F47" s="240">
        <f>F46-F$15</f>
        <v>98850</v>
      </c>
      <c r="G47" s="239" t="s">
        <v>91</v>
      </c>
      <c r="H47" s="240">
        <f>H46-H$15</f>
        <v>113100</v>
      </c>
      <c r="I47" s="239" t="s">
        <v>91</v>
      </c>
      <c r="J47" s="241">
        <f>J46-J$15</f>
        <v>1977</v>
      </c>
      <c r="K47" s="242" t="s">
        <v>91</v>
      </c>
      <c r="L47" s="241">
        <f>L46-L$15</f>
        <v>30</v>
      </c>
    </row>
    <row r="48" spans="1:12" ht="14" x14ac:dyDescent="0.3">
      <c r="A48" s="100"/>
      <c r="B48" s="179" t="s">
        <v>156</v>
      </c>
      <c r="C48" s="124"/>
      <c r="D48" s="124"/>
      <c r="E48" s="180" t="s">
        <v>91</v>
      </c>
      <c r="F48" s="174">
        <f>F46-F$25</f>
        <v>87000</v>
      </c>
      <c r="G48" s="180" t="s">
        <v>91</v>
      </c>
      <c r="H48" s="174">
        <f>H46-H$25</f>
        <v>113100</v>
      </c>
      <c r="I48" s="180" t="s">
        <v>91</v>
      </c>
      <c r="J48" s="155">
        <f>J46-J$25</f>
        <v>1977</v>
      </c>
      <c r="K48" s="183" t="s">
        <v>91</v>
      </c>
      <c r="L48" s="155">
        <f>L46-L$25</f>
        <v>30</v>
      </c>
    </row>
    <row r="49" spans="1:15" ht="14" x14ac:dyDescent="0.3">
      <c r="A49" s="100"/>
      <c r="B49" s="184"/>
      <c r="C49" s="185"/>
      <c r="D49" s="185"/>
      <c r="E49" s="185"/>
      <c r="F49" s="185"/>
      <c r="G49" s="185"/>
      <c r="H49" s="185"/>
      <c r="I49" s="185"/>
      <c r="J49" s="185"/>
      <c r="K49" s="185"/>
      <c r="L49" s="186"/>
    </row>
    <row r="50" spans="1:15" ht="14" x14ac:dyDescent="0.3">
      <c r="A50" s="100"/>
      <c r="B50" s="187" t="s">
        <v>38</v>
      </c>
      <c r="C50" s="188"/>
      <c r="D50" s="189"/>
      <c r="E50" s="190"/>
      <c r="F50" s="190"/>
      <c r="G50" s="190"/>
      <c r="H50" s="188"/>
      <c r="I50" s="191" t="s">
        <v>173</v>
      </c>
      <c r="J50" s="192" t="s">
        <v>33</v>
      </c>
      <c r="K50" s="192"/>
      <c r="L50" s="193" t="s">
        <v>174</v>
      </c>
    </row>
    <row r="51" spans="1:15" ht="14" x14ac:dyDescent="0.3">
      <c r="A51" s="100"/>
      <c r="B51" s="194" t="s">
        <v>93</v>
      </c>
      <c r="C51" s="188"/>
      <c r="D51" s="195"/>
      <c r="E51" s="190"/>
      <c r="F51" s="196"/>
      <c r="G51" s="196"/>
      <c r="H51" s="188"/>
      <c r="I51" s="188"/>
      <c r="J51" s="188"/>
      <c r="K51" s="188"/>
      <c r="L51" s="197">
        <f>F46</f>
        <v>211700</v>
      </c>
    </row>
    <row r="52" spans="1:15" ht="14" x14ac:dyDescent="0.3">
      <c r="A52" s="100"/>
      <c r="B52" s="198" t="s">
        <v>66</v>
      </c>
      <c r="C52" s="199"/>
      <c r="D52" s="199"/>
      <c r="E52" s="190"/>
      <c r="F52" s="196"/>
      <c r="G52" s="196"/>
      <c r="H52" s="200">
        <f>H47</f>
        <v>113100</v>
      </c>
      <c r="I52" s="201" t="s">
        <v>175</v>
      </c>
      <c r="J52" s="243">
        <f>J30</f>
        <v>5</v>
      </c>
      <c r="K52" s="203" t="s">
        <v>180</v>
      </c>
      <c r="L52" s="197">
        <f>-H52*J52%</f>
        <v>-5655</v>
      </c>
    </row>
    <row r="53" spans="1:15" ht="14" x14ac:dyDescent="0.3">
      <c r="A53" s="100"/>
      <c r="B53" s="205" t="s">
        <v>31</v>
      </c>
      <c r="C53" s="195"/>
      <c r="D53" s="195"/>
      <c r="E53" s="190"/>
      <c r="F53" s="196"/>
      <c r="G53" s="196"/>
      <c r="H53" s="244">
        <f>J47</f>
        <v>1977</v>
      </c>
      <c r="I53" s="201" t="s">
        <v>176</v>
      </c>
      <c r="J53" s="243">
        <f>J31</f>
        <v>12</v>
      </c>
      <c r="K53" s="203" t="s">
        <v>69</v>
      </c>
      <c r="L53" s="197">
        <f>-H53*J53</f>
        <v>-23724</v>
      </c>
    </row>
    <row r="54" spans="1:15" ht="14" x14ac:dyDescent="0.3">
      <c r="A54" s="100"/>
      <c r="B54" s="205" t="s">
        <v>32</v>
      </c>
      <c r="C54" s="195"/>
      <c r="D54" s="195"/>
      <c r="E54" s="190"/>
      <c r="F54" s="196"/>
      <c r="G54" s="196"/>
      <c r="H54" s="207">
        <f>L47</f>
        <v>30</v>
      </c>
      <c r="I54" s="201" t="s">
        <v>178</v>
      </c>
      <c r="J54" s="243">
        <f>J32</f>
        <v>420</v>
      </c>
      <c r="K54" s="203" t="s">
        <v>70</v>
      </c>
      <c r="L54" s="197">
        <f>-H54*J54</f>
        <v>-12600</v>
      </c>
    </row>
    <row r="55" spans="1:15" ht="14" x14ac:dyDescent="0.3">
      <c r="A55" s="100"/>
      <c r="B55" s="205" t="s">
        <v>207</v>
      </c>
      <c r="C55" s="195"/>
      <c r="D55" s="195"/>
      <c r="E55" s="196"/>
      <c r="H55" s="246">
        <f>KalkOHNEGrenzKoOptIst!$B$45*KalkOHNEGrenzKoOptIst!N55</f>
        <v>336000</v>
      </c>
      <c r="I55" s="201" t="s">
        <v>206</v>
      </c>
      <c r="J55" s="245">
        <v>25</v>
      </c>
      <c r="K55" s="190" t="s">
        <v>171</v>
      </c>
      <c r="L55" s="197">
        <f>-H55/J55</f>
        <v>-13440</v>
      </c>
      <c r="N55" s="247">
        <v>280</v>
      </c>
      <c r="O55" s="99" t="s">
        <v>63</v>
      </c>
    </row>
    <row r="56" spans="1:15" ht="14" x14ac:dyDescent="0.3">
      <c r="A56" s="100"/>
      <c r="B56" s="205" t="s">
        <v>208</v>
      </c>
      <c r="C56" s="195"/>
      <c r="D56" s="195"/>
      <c r="E56" s="196"/>
      <c r="H56" s="246">
        <f>KalkOHNEGrenzKoOptIst!$B$45*KalkOHNEGrenzKoOptIst!N56</f>
        <v>168000</v>
      </c>
      <c r="I56" s="201" t="s">
        <v>206</v>
      </c>
      <c r="J56" s="245">
        <v>12.5</v>
      </c>
      <c r="K56" s="190" t="s">
        <v>171</v>
      </c>
      <c r="L56" s="197">
        <f>-H56/J56</f>
        <v>-13440</v>
      </c>
      <c r="N56" s="247">
        <f>N55/2</f>
        <v>140</v>
      </c>
      <c r="O56" s="99" t="s">
        <v>64</v>
      </c>
    </row>
    <row r="57" spans="1:15" ht="14" x14ac:dyDescent="0.3">
      <c r="A57" s="100"/>
      <c r="B57" s="198" t="s">
        <v>209</v>
      </c>
      <c r="C57" s="195"/>
      <c r="D57" s="195"/>
      <c r="E57" s="190"/>
      <c r="F57" s="196"/>
      <c r="G57" s="196"/>
      <c r="H57" s="246">
        <f>(H55+H56)/2</f>
        <v>252000</v>
      </c>
      <c r="I57" s="201" t="s">
        <v>72</v>
      </c>
      <c r="J57" s="243">
        <f>J52</f>
        <v>5</v>
      </c>
      <c r="K57" s="203" t="s">
        <v>180</v>
      </c>
      <c r="L57" s="197">
        <f>-H57*J57%</f>
        <v>-12600</v>
      </c>
    </row>
    <row r="58" spans="1:15" ht="14" x14ac:dyDescent="0.3">
      <c r="A58" s="100"/>
      <c r="B58" s="205" t="s">
        <v>40</v>
      </c>
      <c r="C58" s="195"/>
      <c r="D58" s="195"/>
      <c r="E58" s="190"/>
      <c r="F58" s="196"/>
      <c r="G58" s="196"/>
      <c r="H58" s="200">
        <f>H55</f>
        <v>336000</v>
      </c>
      <c r="I58" s="201" t="s">
        <v>72</v>
      </c>
      <c r="J58" s="202">
        <v>0.5</v>
      </c>
      <c r="K58" s="203" t="s">
        <v>180</v>
      </c>
      <c r="L58" s="197">
        <f>-H58*J58%</f>
        <v>-1680</v>
      </c>
    </row>
    <row r="59" spans="1:15" ht="14" x14ac:dyDescent="0.3">
      <c r="A59" s="100"/>
      <c r="B59" s="205" t="s">
        <v>165</v>
      </c>
      <c r="C59" s="195"/>
      <c r="D59" s="195"/>
      <c r="E59" s="190"/>
      <c r="F59" s="196"/>
      <c r="G59" s="196"/>
      <c r="H59" s="200"/>
      <c r="I59" s="201"/>
      <c r="J59" s="202"/>
      <c r="K59" s="203"/>
      <c r="L59" s="248">
        <v>-1861</v>
      </c>
    </row>
    <row r="60" spans="1:15" ht="14" x14ac:dyDescent="0.3">
      <c r="A60" s="100"/>
      <c r="B60" s="208" t="s">
        <v>166</v>
      </c>
      <c r="C60" s="209"/>
      <c r="D60" s="209"/>
      <c r="E60" s="210"/>
      <c r="F60" s="211"/>
      <c r="G60" s="211"/>
      <c r="H60" s="207">
        <f>H54</f>
        <v>30</v>
      </c>
      <c r="I60" s="201" t="s">
        <v>178</v>
      </c>
      <c r="J60" s="202">
        <v>300</v>
      </c>
      <c r="K60" s="203" t="s">
        <v>70</v>
      </c>
      <c r="L60" s="249">
        <f>H60*J60</f>
        <v>9000</v>
      </c>
    </row>
    <row r="61" spans="1:15" ht="14" x14ac:dyDescent="0.3">
      <c r="A61" s="100"/>
      <c r="B61" s="216" t="s">
        <v>13</v>
      </c>
      <c r="C61" s="217"/>
      <c r="D61" s="217"/>
      <c r="E61" s="218"/>
      <c r="F61" s="219"/>
      <c r="G61" s="219"/>
      <c r="H61" s="218"/>
      <c r="I61" s="218"/>
      <c r="J61" s="219"/>
      <c r="K61" s="220"/>
      <c r="L61" s="221">
        <f>SUM(L51:L60)</f>
        <v>135700</v>
      </c>
    </row>
    <row r="62" spans="1:15" ht="14" x14ac:dyDescent="0.3">
      <c r="A62" s="100"/>
      <c r="B62" s="250" t="s">
        <v>181</v>
      </c>
      <c r="C62" s="251"/>
      <c r="D62" s="252"/>
      <c r="E62" s="251"/>
      <c r="F62" s="251"/>
      <c r="G62" s="251"/>
      <c r="H62" s="253"/>
      <c r="I62" s="251"/>
      <c r="J62" s="251"/>
      <c r="K62" s="251"/>
      <c r="L62" s="254">
        <f>L61-$F$15</f>
        <v>22850</v>
      </c>
    </row>
    <row r="63" spans="1:15" ht="14" x14ac:dyDescent="0.3">
      <c r="A63" s="100"/>
      <c r="B63" s="255" t="s">
        <v>170</v>
      </c>
      <c r="C63" s="256"/>
      <c r="D63" s="257"/>
      <c r="E63" s="256"/>
      <c r="F63" s="256"/>
      <c r="G63" s="256"/>
      <c r="H63" s="258"/>
      <c r="I63" s="256"/>
      <c r="J63" s="256"/>
      <c r="K63" s="256"/>
      <c r="L63" s="259">
        <f>L61-L34</f>
        <v>11000</v>
      </c>
    </row>
    <row r="64" spans="1:15" ht="14" x14ac:dyDescent="0.3">
      <c r="A64" s="100"/>
    </row>
    <row r="65" spans="1:15" ht="14" x14ac:dyDescent="0.3">
      <c r="A65" s="100"/>
    </row>
    <row r="66" spans="1:15" ht="14" x14ac:dyDescent="0.3">
      <c r="A66" s="100"/>
      <c r="B66" s="260" t="s">
        <v>62</v>
      </c>
      <c r="C66" s="3"/>
      <c r="D66" s="261"/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261"/>
    </row>
    <row r="67" spans="1:15" x14ac:dyDescent="0.25">
      <c r="B67" s="102"/>
      <c r="C67" s="102"/>
      <c r="D67" s="26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</row>
    <row r="68" spans="1:15" x14ac:dyDescent="0.25">
      <c r="B68" s="263" t="s">
        <v>95</v>
      </c>
      <c r="C68" s="264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</row>
    <row r="69" spans="1:15" x14ac:dyDescent="0.25">
      <c r="B69" s="261"/>
      <c r="C69" s="264"/>
      <c r="D69" s="261"/>
      <c r="E69" s="261"/>
      <c r="F69" s="261"/>
      <c r="G69" s="261"/>
      <c r="H69" s="261"/>
      <c r="I69" s="261"/>
      <c r="J69" s="261"/>
      <c r="K69" s="261"/>
      <c r="L69" s="261"/>
      <c r="M69" s="261"/>
      <c r="N69" s="261"/>
      <c r="O69" s="261"/>
    </row>
    <row r="70" spans="1:15" x14ac:dyDescent="0.25">
      <c r="C70" s="102" t="s">
        <v>56</v>
      </c>
      <c r="D70" s="102"/>
      <c r="E70" s="102"/>
      <c r="F70" s="102"/>
      <c r="G70" s="102"/>
      <c r="H70" s="102"/>
      <c r="I70" s="102"/>
      <c r="J70" s="102"/>
      <c r="K70" s="200">
        <f>KalkOHNEGrenzKoOptIst!$L$62</f>
        <v>22850</v>
      </c>
      <c r="L70" s="102" t="s">
        <v>41</v>
      </c>
      <c r="M70" s="261"/>
    </row>
    <row r="71" spans="1:15" x14ac:dyDescent="0.25">
      <c r="B71" s="359" t="s">
        <v>77</v>
      </c>
      <c r="C71" s="102" t="s">
        <v>20</v>
      </c>
      <c r="D71" s="102"/>
      <c r="E71" s="102"/>
      <c r="F71" s="102"/>
      <c r="G71" s="102"/>
      <c r="H71" s="102"/>
      <c r="I71" s="102"/>
      <c r="J71" s="102"/>
      <c r="K71" s="200">
        <f>-KalkOHNEGrenzKoOptIst!L52-KalkOHNEGrenzKoOptIst!L57</f>
        <v>18255</v>
      </c>
      <c r="L71" s="102" t="s">
        <v>41</v>
      </c>
      <c r="M71" s="261"/>
    </row>
    <row r="72" spans="1:15" x14ac:dyDescent="0.25">
      <c r="B72" s="360" t="s">
        <v>78</v>
      </c>
      <c r="C72" s="211" t="s">
        <v>19</v>
      </c>
      <c r="D72" s="211"/>
      <c r="E72" s="211"/>
      <c r="F72" s="211"/>
      <c r="G72" s="211"/>
      <c r="H72" s="211"/>
      <c r="I72" s="211"/>
      <c r="J72" s="211"/>
      <c r="K72" s="266">
        <f>K70+K71</f>
        <v>41105</v>
      </c>
      <c r="L72" s="211" t="s">
        <v>41</v>
      </c>
      <c r="M72" s="261"/>
    </row>
    <row r="73" spans="1:15" x14ac:dyDescent="0.25">
      <c r="B73" s="359" t="s">
        <v>53</v>
      </c>
      <c r="C73" s="102" t="s">
        <v>21</v>
      </c>
      <c r="D73" s="102"/>
      <c r="E73" s="102"/>
      <c r="F73" s="102"/>
      <c r="G73" s="102"/>
      <c r="H73" s="102"/>
      <c r="I73" s="102"/>
      <c r="J73" s="102"/>
      <c r="K73" s="267">
        <f>KalkOHNEGrenzKoOptIst!H52+KalkOHNEGrenzKoOptIst!H57</f>
        <v>365100</v>
      </c>
      <c r="L73" s="102" t="s">
        <v>41</v>
      </c>
      <c r="M73" s="261"/>
    </row>
    <row r="74" spans="1:15" x14ac:dyDescent="0.25">
      <c r="B74" s="360" t="s">
        <v>78</v>
      </c>
      <c r="C74" s="211" t="s">
        <v>16</v>
      </c>
      <c r="D74" s="211"/>
      <c r="E74" s="211"/>
      <c r="F74" s="211"/>
      <c r="G74" s="211"/>
      <c r="H74" s="211"/>
      <c r="I74" s="211"/>
      <c r="J74" s="211"/>
      <c r="K74" s="268">
        <f>K72/K73*100</f>
        <v>11.25855929882224</v>
      </c>
      <c r="L74" s="211" t="s">
        <v>28</v>
      </c>
      <c r="M74" s="261"/>
    </row>
    <row r="75" spans="1:15" ht="13" x14ac:dyDescent="0.3">
      <c r="B75" s="361" t="s">
        <v>78</v>
      </c>
      <c r="C75" s="269" t="s">
        <v>94</v>
      </c>
      <c r="D75" s="102"/>
      <c r="E75" s="102"/>
      <c r="F75" s="102"/>
      <c r="G75" s="102"/>
      <c r="H75" s="102"/>
      <c r="I75" s="102"/>
      <c r="J75" s="102"/>
      <c r="K75" s="270"/>
      <c r="L75" s="261"/>
      <c r="M75" s="261"/>
    </row>
    <row r="76" spans="1:15" x14ac:dyDescent="0.25">
      <c r="C76" s="102"/>
      <c r="D76" s="102"/>
      <c r="E76" s="102"/>
      <c r="F76" s="102"/>
      <c r="G76" s="102"/>
      <c r="H76" s="102"/>
      <c r="I76" s="102"/>
      <c r="J76" s="102"/>
      <c r="K76" s="271"/>
      <c r="L76" s="102"/>
      <c r="M76" s="261"/>
    </row>
    <row r="77" spans="1:15" x14ac:dyDescent="0.25">
      <c r="C77" s="102"/>
      <c r="D77" s="102"/>
      <c r="E77" s="102"/>
      <c r="F77" s="102"/>
      <c r="G77" s="102"/>
      <c r="H77" s="102"/>
      <c r="I77" s="102"/>
      <c r="J77" s="102"/>
      <c r="K77" s="271"/>
      <c r="L77" s="102"/>
      <c r="M77" s="261"/>
    </row>
    <row r="78" spans="1:15" x14ac:dyDescent="0.25">
      <c r="B78" s="263" t="s">
        <v>96</v>
      </c>
      <c r="C78" s="102"/>
      <c r="D78" s="102"/>
      <c r="E78" s="102"/>
      <c r="F78" s="102"/>
      <c r="G78" s="102"/>
      <c r="H78" s="102"/>
      <c r="I78" s="102"/>
      <c r="J78" s="102"/>
      <c r="K78" s="271"/>
      <c r="L78" s="102"/>
      <c r="M78" s="261"/>
    </row>
    <row r="79" spans="1:15" x14ac:dyDescent="0.25">
      <c r="C79" s="102"/>
      <c r="D79" s="102"/>
      <c r="E79" s="102"/>
      <c r="F79" s="102"/>
      <c r="G79" s="102"/>
      <c r="H79" s="102"/>
      <c r="I79" s="102"/>
      <c r="J79" s="102"/>
      <c r="K79" s="271"/>
      <c r="L79" s="102"/>
      <c r="M79" s="261"/>
    </row>
    <row r="80" spans="1:15" x14ac:dyDescent="0.25">
      <c r="B80" s="359"/>
      <c r="C80" s="102" t="s">
        <v>182</v>
      </c>
      <c r="D80" s="102"/>
      <c r="E80" s="102"/>
      <c r="F80" s="102"/>
      <c r="G80" s="102"/>
      <c r="H80" s="102"/>
      <c r="I80" s="102"/>
      <c r="J80" s="102"/>
      <c r="K80" s="200">
        <f>KalkOHNEGrenzKoOptIst!$L$63</f>
        <v>11000</v>
      </c>
      <c r="L80" s="102" t="s">
        <v>41</v>
      </c>
      <c r="M80" s="261"/>
    </row>
    <row r="81" spans="2:16" x14ac:dyDescent="0.25">
      <c r="B81" s="359" t="s">
        <v>77</v>
      </c>
      <c r="C81" s="102" t="s">
        <v>22</v>
      </c>
      <c r="D81" s="102"/>
      <c r="E81" s="102"/>
      <c r="F81" s="102"/>
      <c r="G81" s="102"/>
      <c r="H81" s="102"/>
      <c r="I81" s="102"/>
      <c r="J81" s="102"/>
      <c r="K81" s="200">
        <f>-(KalkOHNEGrenzKoOptIst!L52-KalkOHNEGrenzKoOptIst!L30)-(KalkOHNEGrenzKoOptIst!L57)</f>
        <v>18255</v>
      </c>
      <c r="L81" s="102" t="s">
        <v>41</v>
      </c>
      <c r="M81" s="261"/>
    </row>
    <row r="82" spans="2:16" x14ac:dyDescent="0.25">
      <c r="B82" s="360" t="s">
        <v>78</v>
      </c>
      <c r="C82" s="211" t="s">
        <v>18</v>
      </c>
      <c r="D82" s="211"/>
      <c r="E82" s="211"/>
      <c r="F82" s="211"/>
      <c r="G82" s="211"/>
      <c r="H82" s="211"/>
      <c r="I82" s="211"/>
      <c r="J82" s="211"/>
      <c r="K82" s="266">
        <f>K80+K81</f>
        <v>29255</v>
      </c>
      <c r="L82" s="211" t="s">
        <v>41</v>
      </c>
      <c r="M82" s="261"/>
    </row>
    <row r="83" spans="2:16" x14ac:dyDescent="0.25">
      <c r="B83" s="359" t="s">
        <v>53</v>
      </c>
      <c r="C83" s="102" t="s">
        <v>23</v>
      </c>
      <c r="D83" s="102"/>
      <c r="E83" s="102"/>
      <c r="F83" s="102"/>
      <c r="G83" s="102"/>
      <c r="H83" s="102"/>
      <c r="I83" s="102"/>
      <c r="J83" s="102"/>
      <c r="K83" s="267">
        <f>KalkOHNEGrenzKoOptIst!H48+KalkOHNEGrenzKoOptIst!H57</f>
        <v>365100</v>
      </c>
      <c r="L83" s="102" t="s">
        <v>41</v>
      </c>
      <c r="M83" s="261"/>
    </row>
    <row r="84" spans="2:16" x14ac:dyDescent="0.25">
      <c r="B84" s="360" t="s">
        <v>78</v>
      </c>
      <c r="C84" s="211" t="s">
        <v>17</v>
      </c>
      <c r="D84" s="211"/>
      <c r="E84" s="211"/>
      <c r="F84" s="211"/>
      <c r="G84" s="211"/>
      <c r="H84" s="211"/>
      <c r="I84" s="211"/>
      <c r="J84" s="211"/>
      <c r="K84" s="268">
        <f>K82/K83*100</f>
        <v>8.0128731854286492</v>
      </c>
      <c r="L84" s="211" t="s">
        <v>28</v>
      </c>
      <c r="M84" s="261"/>
    </row>
    <row r="85" spans="2:16" ht="13" x14ac:dyDescent="0.3">
      <c r="B85" s="361" t="s">
        <v>78</v>
      </c>
      <c r="C85" s="269" t="s">
        <v>97</v>
      </c>
      <c r="D85" s="196"/>
      <c r="E85" s="196"/>
      <c r="F85" s="196"/>
      <c r="G85" s="196"/>
      <c r="H85" s="196"/>
      <c r="I85" s="196"/>
      <c r="J85" s="196"/>
      <c r="K85" s="270"/>
      <c r="L85" s="261"/>
      <c r="M85" s="261"/>
    </row>
    <row r="86" spans="2:16" ht="13" x14ac:dyDescent="0.3">
      <c r="B86" s="361" t="s">
        <v>78</v>
      </c>
      <c r="C86" s="269" t="s">
        <v>98</v>
      </c>
      <c r="D86" s="102"/>
      <c r="E86" s="102"/>
      <c r="F86" s="102"/>
      <c r="G86" s="102"/>
      <c r="H86" s="102"/>
      <c r="I86" s="102"/>
      <c r="J86" s="102"/>
      <c r="K86" s="271"/>
      <c r="L86" s="102"/>
      <c r="M86" s="261"/>
    </row>
    <row r="87" spans="2:16" x14ac:dyDescent="0.25">
      <c r="B87" s="261"/>
      <c r="C87" s="99" t="s">
        <v>24</v>
      </c>
      <c r="D87" s="261"/>
      <c r="E87" s="261"/>
      <c r="F87" s="261"/>
      <c r="G87" s="261"/>
      <c r="H87" s="261"/>
      <c r="I87" s="261"/>
      <c r="J87" s="261"/>
      <c r="K87" s="270"/>
      <c r="L87" s="261"/>
      <c r="M87" s="261"/>
    </row>
    <row r="88" spans="2:16" x14ac:dyDescent="0.25">
      <c r="M88" s="261"/>
    </row>
    <row r="89" spans="2:16" x14ac:dyDescent="0.25">
      <c r="M89" s="261"/>
    </row>
    <row r="90" spans="2:16" ht="14" x14ac:dyDescent="0.25">
      <c r="B90" s="260" t="s">
        <v>131</v>
      </c>
      <c r="C90" s="3"/>
      <c r="D90" s="261"/>
      <c r="E90" s="261"/>
      <c r="F90" s="261"/>
      <c r="G90" s="261"/>
      <c r="H90" s="261"/>
      <c r="I90" s="261"/>
      <c r="J90" s="261"/>
      <c r="K90" s="270"/>
      <c r="L90" s="261"/>
      <c r="M90" s="261"/>
      <c r="P90" s="261"/>
    </row>
    <row r="91" spans="2:16" x14ac:dyDescent="0.25">
      <c r="B91" s="261"/>
      <c r="C91" s="261"/>
      <c r="D91" s="261"/>
      <c r="E91" s="261"/>
      <c r="F91" s="261"/>
      <c r="G91" s="261"/>
      <c r="H91" s="261"/>
      <c r="I91" s="261"/>
      <c r="J91" s="261"/>
      <c r="K91" s="270"/>
      <c r="L91" s="261"/>
      <c r="M91" s="261"/>
      <c r="P91" s="261"/>
    </row>
    <row r="92" spans="2:16" x14ac:dyDescent="0.25">
      <c r="B92" s="263" t="s">
        <v>161</v>
      </c>
      <c r="C92" s="264"/>
      <c r="D92" s="261"/>
      <c r="E92" s="261"/>
      <c r="F92" s="261"/>
      <c r="G92" s="261"/>
      <c r="H92" s="261"/>
      <c r="I92" s="261"/>
      <c r="J92" s="261"/>
      <c r="K92" s="270"/>
      <c r="L92" s="261"/>
      <c r="M92" s="261"/>
      <c r="P92" s="261"/>
    </row>
    <row r="93" spans="2:16" x14ac:dyDescent="0.25">
      <c r="B93" s="261"/>
      <c r="C93" s="264"/>
      <c r="D93" s="261"/>
      <c r="E93" s="261"/>
      <c r="F93" s="261"/>
      <c r="G93" s="261"/>
      <c r="H93" s="261"/>
      <c r="I93" s="261"/>
      <c r="J93" s="261"/>
      <c r="K93" s="270"/>
      <c r="L93" s="261"/>
      <c r="M93" s="261"/>
      <c r="P93" s="261"/>
    </row>
    <row r="94" spans="2:16" x14ac:dyDescent="0.25">
      <c r="C94" s="102" t="s">
        <v>56</v>
      </c>
      <c r="D94" s="102"/>
      <c r="E94" s="102"/>
      <c r="F94" s="102"/>
      <c r="G94" s="102"/>
      <c r="H94" s="102"/>
      <c r="I94" s="102"/>
      <c r="J94" s="102"/>
      <c r="K94" s="200">
        <f>KalkOHNEGrenzKoOptIst!$L$62</f>
        <v>22850</v>
      </c>
      <c r="L94" s="102" t="s">
        <v>41</v>
      </c>
      <c r="M94" s="261"/>
      <c r="P94" s="102"/>
    </row>
    <row r="95" spans="2:16" x14ac:dyDescent="0.25">
      <c r="B95" s="99" t="s">
        <v>77</v>
      </c>
      <c r="C95" s="102" t="s">
        <v>100</v>
      </c>
      <c r="D95" s="102"/>
      <c r="E95" s="102"/>
      <c r="F95" s="102"/>
      <c r="G95" s="102"/>
      <c r="H95" s="102"/>
      <c r="I95" s="102"/>
      <c r="J95" s="102"/>
      <c r="K95" s="200">
        <f>-KalkOHNEGrenzKoOptIst!L53</f>
        <v>23724</v>
      </c>
      <c r="L95" s="102" t="s">
        <v>41</v>
      </c>
      <c r="M95" s="261"/>
      <c r="P95" s="102"/>
    </row>
    <row r="96" spans="2:16" x14ac:dyDescent="0.25">
      <c r="B96" s="265" t="s">
        <v>78</v>
      </c>
      <c r="C96" s="211" t="s">
        <v>160</v>
      </c>
      <c r="D96" s="211"/>
      <c r="E96" s="211"/>
      <c r="F96" s="211"/>
      <c r="G96" s="211"/>
      <c r="H96" s="211"/>
      <c r="I96" s="211"/>
      <c r="J96" s="211"/>
      <c r="K96" s="266">
        <f>K94+K95</f>
        <v>46574</v>
      </c>
      <c r="L96" s="211" t="s">
        <v>41</v>
      </c>
      <c r="M96" s="261"/>
      <c r="P96" s="102"/>
    </row>
    <row r="97" spans="2:16" x14ac:dyDescent="0.25">
      <c r="B97" s="99" t="s">
        <v>53</v>
      </c>
      <c r="C97" s="102" t="s">
        <v>159</v>
      </c>
      <c r="D97" s="102"/>
      <c r="E97" s="102"/>
      <c r="F97" s="102"/>
      <c r="G97" s="102"/>
      <c r="H97" s="102"/>
      <c r="I97" s="102"/>
      <c r="J97" s="102"/>
      <c r="K97" s="200">
        <f>KalkOHNEGrenzKoOptIst!$H$53</f>
        <v>1977</v>
      </c>
      <c r="L97" s="102" t="s">
        <v>26</v>
      </c>
      <c r="M97" s="261"/>
      <c r="P97" s="102"/>
    </row>
    <row r="98" spans="2:16" x14ac:dyDescent="0.25">
      <c r="B98" s="265" t="s">
        <v>78</v>
      </c>
      <c r="C98" s="211" t="s">
        <v>158</v>
      </c>
      <c r="D98" s="211"/>
      <c r="E98" s="211"/>
      <c r="F98" s="211"/>
      <c r="G98" s="211"/>
      <c r="H98" s="211"/>
      <c r="I98" s="211"/>
      <c r="J98" s="211"/>
      <c r="K98" s="272">
        <f>K96/K97</f>
        <v>23.55791603439555</v>
      </c>
      <c r="L98" s="211" t="s">
        <v>27</v>
      </c>
      <c r="M98" s="261"/>
      <c r="P98" s="102"/>
    </row>
    <row r="99" spans="2:16" ht="13" x14ac:dyDescent="0.3">
      <c r="B99" s="269" t="s">
        <v>78</v>
      </c>
      <c r="C99" s="269" t="s">
        <v>162</v>
      </c>
      <c r="D99" s="102"/>
      <c r="E99" s="102"/>
      <c r="F99" s="102"/>
      <c r="G99" s="102"/>
      <c r="H99" s="102"/>
      <c r="I99" s="102"/>
      <c r="J99" s="102"/>
      <c r="K99" s="270"/>
      <c r="L99" s="261"/>
      <c r="M99" s="261"/>
      <c r="P99" s="102"/>
    </row>
    <row r="100" spans="2:16" x14ac:dyDescent="0.25">
      <c r="C100" s="102"/>
      <c r="D100" s="102"/>
      <c r="E100" s="102"/>
      <c r="F100" s="102"/>
      <c r="G100" s="102"/>
      <c r="H100" s="102"/>
      <c r="I100" s="102"/>
      <c r="J100" s="102"/>
      <c r="K100" s="271"/>
      <c r="L100" s="102"/>
      <c r="M100" s="261"/>
      <c r="P100" s="102"/>
    </row>
    <row r="101" spans="2:16" x14ac:dyDescent="0.25">
      <c r="C101" s="102"/>
      <c r="D101" s="102"/>
      <c r="E101" s="102"/>
      <c r="F101" s="102"/>
      <c r="G101" s="102"/>
      <c r="H101" s="102"/>
      <c r="I101" s="102"/>
      <c r="J101" s="102"/>
      <c r="K101" s="271"/>
      <c r="L101" s="102"/>
      <c r="M101" s="261"/>
      <c r="P101" s="102"/>
    </row>
    <row r="102" spans="2:16" x14ac:dyDescent="0.25">
      <c r="B102" s="263" t="s">
        <v>7</v>
      </c>
      <c r="C102" s="102"/>
      <c r="D102" s="102"/>
      <c r="E102" s="102"/>
      <c r="F102" s="102"/>
      <c r="G102" s="102"/>
      <c r="H102" s="102"/>
      <c r="I102" s="102"/>
      <c r="J102" s="102"/>
      <c r="K102" s="271"/>
      <c r="L102" s="102"/>
      <c r="M102" s="261"/>
      <c r="P102" s="102"/>
    </row>
    <row r="103" spans="2:16" x14ac:dyDescent="0.25">
      <c r="C103" s="102"/>
      <c r="D103" s="102"/>
      <c r="E103" s="102"/>
      <c r="F103" s="102"/>
      <c r="G103" s="102"/>
      <c r="H103" s="102"/>
      <c r="I103" s="102"/>
      <c r="J103" s="102"/>
      <c r="K103" s="271"/>
      <c r="L103" s="102"/>
      <c r="M103" s="261"/>
      <c r="P103" s="102"/>
    </row>
    <row r="104" spans="2:16" x14ac:dyDescent="0.25">
      <c r="C104" s="102" t="s">
        <v>182</v>
      </c>
      <c r="D104" s="102"/>
      <c r="E104" s="102"/>
      <c r="F104" s="102"/>
      <c r="G104" s="102"/>
      <c r="H104" s="102"/>
      <c r="I104" s="102"/>
      <c r="J104" s="102"/>
      <c r="K104" s="200">
        <f>KalkOHNEGrenzKoOptIst!$L$63</f>
        <v>11000</v>
      </c>
      <c r="L104" s="102" t="s">
        <v>41</v>
      </c>
      <c r="M104" s="261"/>
      <c r="P104" s="102"/>
    </row>
    <row r="105" spans="2:16" x14ac:dyDescent="0.25">
      <c r="B105" s="99" t="s">
        <v>77</v>
      </c>
      <c r="C105" s="102" t="s">
        <v>149</v>
      </c>
      <c r="D105" s="102"/>
      <c r="E105" s="102"/>
      <c r="F105" s="102"/>
      <c r="G105" s="102"/>
      <c r="H105" s="102"/>
      <c r="I105" s="102"/>
      <c r="J105" s="102"/>
      <c r="K105" s="200">
        <f>-(KalkOHNEGrenzKoOptIst!$L$53-KalkOHNEGrenzKoOptIst!$L$31)</f>
        <v>23724</v>
      </c>
      <c r="L105" s="102" t="s">
        <v>41</v>
      </c>
      <c r="M105" s="261"/>
      <c r="P105" s="102"/>
    </row>
    <row r="106" spans="2:16" x14ac:dyDescent="0.25">
      <c r="B106" s="265" t="s">
        <v>78</v>
      </c>
      <c r="C106" s="211" t="s">
        <v>42</v>
      </c>
      <c r="D106" s="211"/>
      <c r="E106" s="211"/>
      <c r="F106" s="211"/>
      <c r="G106" s="211"/>
      <c r="H106" s="211"/>
      <c r="I106" s="211"/>
      <c r="J106" s="211"/>
      <c r="K106" s="266">
        <f>K104+K105</f>
        <v>34724</v>
      </c>
      <c r="L106" s="211" t="s">
        <v>41</v>
      </c>
      <c r="M106" s="261"/>
      <c r="P106" s="102"/>
    </row>
    <row r="107" spans="2:16" x14ac:dyDescent="0.25">
      <c r="B107" s="99" t="s">
        <v>53</v>
      </c>
      <c r="C107" s="102" t="s">
        <v>43</v>
      </c>
      <c r="D107" s="102"/>
      <c r="E107" s="102"/>
      <c r="F107" s="102"/>
      <c r="G107" s="102"/>
      <c r="H107" s="102"/>
      <c r="I107" s="102"/>
      <c r="J107" s="102"/>
      <c r="K107" s="200">
        <f>KalkOHNEGrenzKoOptIst!$J$48</f>
        <v>1977</v>
      </c>
      <c r="L107" s="102" t="s">
        <v>26</v>
      </c>
      <c r="M107" s="261"/>
      <c r="P107" s="102"/>
    </row>
    <row r="108" spans="2:16" x14ac:dyDescent="0.25">
      <c r="B108" s="265" t="s">
        <v>78</v>
      </c>
      <c r="C108" s="211" t="s">
        <v>157</v>
      </c>
      <c r="D108" s="211"/>
      <c r="E108" s="211"/>
      <c r="F108" s="211"/>
      <c r="G108" s="211"/>
      <c r="H108" s="211"/>
      <c r="I108" s="211"/>
      <c r="J108" s="211"/>
      <c r="K108" s="272">
        <f>K106/K107</f>
        <v>17.56398583712696</v>
      </c>
      <c r="L108" s="211" t="s">
        <v>27</v>
      </c>
      <c r="M108" s="261"/>
      <c r="P108" s="102"/>
    </row>
    <row r="109" spans="2:16" ht="13" x14ac:dyDescent="0.3">
      <c r="B109" s="269" t="s">
        <v>78</v>
      </c>
      <c r="C109" s="269" t="s">
        <v>163</v>
      </c>
      <c r="D109" s="102"/>
      <c r="E109" s="102"/>
      <c r="F109" s="102"/>
      <c r="G109" s="102"/>
      <c r="H109" s="102"/>
      <c r="I109" s="102"/>
      <c r="J109" s="102"/>
      <c r="K109" s="270"/>
      <c r="L109" s="261"/>
      <c r="M109" s="261"/>
      <c r="P109" s="102"/>
    </row>
    <row r="110" spans="2:16" ht="13" x14ac:dyDescent="0.3">
      <c r="B110" s="269" t="s">
        <v>78</v>
      </c>
      <c r="C110" s="269" t="s">
        <v>5</v>
      </c>
      <c r="D110" s="102"/>
      <c r="E110" s="102"/>
      <c r="F110" s="102"/>
      <c r="G110" s="102"/>
      <c r="H110" s="102"/>
      <c r="I110" s="102"/>
      <c r="J110" s="102"/>
      <c r="K110" s="271"/>
      <c r="L110" s="102"/>
      <c r="M110" s="261"/>
      <c r="P110" s="102"/>
    </row>
    <row r="111" spans="2:16" x14ac:dyDescent="0.25">
      <c r="B111" s="102"/>
      <c r="C111" s="99" t="s">
        <v>24</v>
      </c>
      <c r="D111" s="102"/>
      <c r="E111" s="102"/>
      <c r="F111" s="102"/>
      <c r="G111" s="102"/>
      <c r="H111" s="102"/>
      <c r="I111" s="102"/>
      <c r="J111" s="102"/>
      <c r="K111" s="271"/>
      <c r="L111" s="102"/>
      <c r="M111" s="261"/>
      <c r="P111" s="102"/>
    </row>
    <row r="112" spans="2:16" x14ac:dyDescent="0.25">
      <c r="M112" s="261"/>
    </row>
    <row r="113" spans="2:13" x14ac:dyDescent="0.25">
      <c r="M113" s="261"/>
    </row>
    <row r="114" spans="2:13" ht="14" x14ac:dyDescent="0.25">
      <c r="B114" s="260" t="s">
        <v>132</v>
      </c>
      <c r="C114" s="83"/>
      <c r="D114" s="261"/>
      <c r="E114" s="102"/>
      <c r="F114" s="102"/>
      <c r="G114" s="102"/>
      <c r="H114" s="102"/>
      <c r="I114" s="102"/>
      <c r="J114" s="102"/>
      <c r="K114" s="271"/>
      <c r="L114" s="102"/>
      <c r="M114" s="261"/>
    </row>
    <row r="115" spans="2:13" x14ac:dyDescent="0.25">
      <c r="B115" s="261"/>
      <c r="C115" s="261"/>
      <c r="D115" s="261"/>
      <c r="E115" s="261"/>
      <c r="F115" s="261"/>
      <c r="G115" s="261"/>
      <c r="H115" s="261"/>
      <c r="I115" s="261"/>
      <c r="J115" s="261"/>
      <c r="K115" s="270"/>
      <c r="L115" s="261"/>
      <c r="M115" s="261"/>
    </row>
    <row r="116" spans="2:13" x14ac:dyDescent="0.25">
      <c r="B116" s="263" t="s">
        <v>6</v>
      </c>
      <c r="D116" s="102"/>
      <c r="E116" s="102"/>
      <c r="F116" s="102"/>
      <c r="G116" s="102"/>
      <c r="H116" s="102"/>
      <c r="I116" s="102"/>
      <c r="J116" s="102"/>
      <c r="K116" s="271"/>
      <c r="L116" s="102"/>
      <c r="M116" s="261"/>
    </row>
    <row r="117" spans="2:13" x14ac:dyDescent="0.25">
      <c r="B117" s="102"/>
      <c r="D117" s="102"/>
      <c r="E117" s="102"/>
      <c r="F117" s="102"/>
      <c r="G117" s="102"/>
      <c r="H117" s="102"/>
      <c r="I117" s="102"/>
      <c r="J117" s="102"/>
      <c r="K117" s="271"/>
      <c r="L117" s="102"/>
      <c r="M117" s="261"/>
    </row>
    <row r="118" spans="2:13" x14ac:dyDescent="0.25">
      <c r="C118" s="102" t="s">
        <v>56</v>
      </c>
      <c r="D118" s="102"/>
      <c r="E118" s="102"/>
      <c r="F118" s="102"/>
      <c r="G118" s="102"/>
      <c r="H118" s="102"/>
      <c r="I118" s="102"/>
      <c r="J118" s="102"/>
      <c r="K118" s="200">
        <f>KalkOHNEGrenzKoOptIst!$L$62</f>
        <v>22850</v>
      </c>
      <c r="L118" s="102" t="s">
        <v>41</v>
      </c>
      <c r="M118" s="261"/>
    </row>
    <row r="119" spans="2:13" x14ac:dyDescent="0.25">
      <c r="B119" s="99" t="s">
        <v>77</v>
      </c>
      <c r="C119" s="102" t="s">
        <v>150</v>
      </c>
      <c r="D119" s="102"/>
      <c r="E119" s="102"/>
      <c r="F119" s="102"/>
      <c r="G119" s="102"/>
      <c r="H119" s="102"/>
      <c r="I119" s="102"/>
      <c r="J119" s="102"/>
      <c r="K119" s="200">
        <f>-KalkOHNEGrenzKoOptIst!L54</f>
        <v>12600</v>
      </c>
      <c r="L119" s="102" t="s">
        <v>41</v>
      </c>
      <c r="M119" s="261"/>
    </row>
    <row r="120" spans="2:13" x14ac:dyDescent="0.25">
      <c r="B120" s="265" t="s">
        <v>78</v>
      </c>
      <c r="C120" s="211" t="s">
        <v>44</v>
      </c>
      <c r="D120" s="211"/>
      <c r="E120" s="211"/>
      <c r="F120" s="211"/>
      <c r="G120" s="211"/>
      <c r="H120" s="211"/>
      <c r="I120" s="211"/>
      <c r="J120" s="211"/>
      <c r="K120" s="266">
        <f>K118+K119</f>
        <v>35450</v>
      </c>
      <c r="L120" s="211" t="s">
        <v>41</v>
      </c>
      <c r="M120" s="261"/>
    </row>
    <row r="121" spans="2:13" x14ac:dyDescent="0.25">
      <c r="B121" s="99" t="s">
        <v>53</v>
      </c>
      <c r="C121" s="102" t="s">
        <v>45</v>
      </c>
      <c r="D121" s="102"/>
      <c r="E121" s="102"/>
      <c r="F121" s="102"/>
      <c r="G121" s="102"/>
      <c r="H121" s="102"/>
      <c r="I121" s="102"/>
      <c r="J121" s="102"/>
      <c r="K121" s="200">
        <f>KalkOHNEGrenzKoOptIst!H54</f>
        <v>30</v>
      </c>
      <c r="L121" s="102" t="s">
        <v>86</v>
      </c>
      <c r="M121" s="261"/>
    </row>
    <row r="122" spans="2:13" x14ac:dyDescent="0.25">
      <c r="B122" s="265" t="s">
        <v>78</v>
      </c>
      <c r="C122" s="211" t="s">
        <v>46</v>
      </c>
      <c r="D122" s="211"/>
      <c r="E122" s="211"/>
      <c r="F122" s="211"/>
      <c r="G122" s="211"/>
      <c r="H122" s="211"/>
      <c r="I122" s="211"/>
      <c r="J122" s="211"/>
      <c r="K122" s="273">
        <f>K120/K121</f>
        <v>1181.6666666666667</v>
      </c>
      <c r="L122" s="211" t="s">
        <v>29</v>
      </c>
      <c r="M122" s="261"/>
    </row>
    <row r="123" spans="2:13" ht="13" x14ac:dyDescent="0.3">
      <c r="B123" s="269" t="s">
        <v>78</v>
      </c>
      <c r="C123" s="269" t="s">
        <v>9</v>
      </c>
      <c r="D123" s="102"/>
      <c r="E123" s="102"/>
      <c r="F123" s="102"/>
      <c r="G123" s="102"/>
      <c r="H123" s="102"/>
      <c r="I123" s="102"/>
      <c r="J123" s="102"/>
      <c r="K123" s="270"/>
      <c r="L123" s="261"/>
      <c r="M123" s="261"/>
    </row>
    <row r="124" spans="2:13" x14ac:dyDescent="0.25">
      <c r="B124" s="261"/>
      <c r="C124" s="261"/>
      <c r="D124" s="102"/>
      <c r="E124" s="102"/>
      <c r="F124" s="102"/>
      <c r="G124" s="102"/>
      <c r="H124" s="102"/>
      <c r="I124" s="102"/>
      <c r="J124" s="102"/>
      <c r="K124" s="271"/>
      <c r="L124" s="102"/>
      <c r="M124" s="261"/>
    </row>
    <row r="125" spans="2:13" x14ac:dyDescent="0.25">
      <c r="B125" s="102"/>
      <c r="D125" s="102"/>
      <c r="E125" s="102"/>
      <c r="F125" s="102"/>
      <c r="G125" s="102"/>
      <c r="H125" s="102"/>
      <c r="I125" s="102"/>
      <c r="J125" s="102"/>
      <c r="K125" s="271"/>
      <c r="L125" s="102"/>
      <c r="M125" s="261"/>
    </row>
    <row r="126" spans="2:13" x14ac:dyDescent="0.25">
      <c r="B126" s="263" t="s">
        <v>8</v>
      </c>
      <c r="D126" s="102"/>
      <c r="E126" s="102"/>
      <c r="F126" s="102"/>
      <c r="G126" s="102"/>
      <c r="H126" s="102"/>
      <c r="I126" s="102"/>
      <c r="J126" s="102"/>
      <c r="K126" s="271"/>
      <c r="L126" s="102"/>
      <c r="M126" s="261"/>
    </row>
    <row r="127" spans="2:13" x14ac:dyDescent="0.25">
      <c r="B127" s="102"/>
      <c r="D127" s="102"/>
      <c r="E127" s="102"/>
      <c r="F127" s="102"/>
      <c r="G127" s="102"/>
      <c r="H127" s="102"/>
      <c r="I127" s="102"/>
      <c r="J127" s="102"/>
      <c r="K127" s="271"/>
      <c r="L127" s="102"/>
      <c r="M127" s="261"/>
    </row>
    <row r="128" spans="2:13" x14ac:dyDescent="0.25">
      <c r="C128" s="102" t="s">
        <v>182</v>
      </c>
      <c r="D128" s="102"/>
      <c r="E128" s="102"/>
      <c r="F128" s="102"/>
      <c r="G128" s="102"/>
      <c r="H128" s="102"/>
      <c r="I128" s="102"/>
      <c r="J128" s="102"/>
      <c r="K128" s="200">
        <f>KalkOHNEGrenzKoOptIst!$L$63</f>
        <v>11000</v>
      </c>
      <c r="L128" s="102" t="s">
        <v>41</v>
      </c>
      <c r="M128" s="261"/>
    </row>
    <row r="129" spans="2:15" x14ac:dyDescent="0.25">
      <c r="B129" s="99" t="s">
        <v>77</v>
      </c>
      <c r="C129" s="102" t="s">
        <v>151</v>
      </c>
      <c r="D129" s="102"/>
      <c r="E129" s="102"/>
      <c r="F129" s="102"/>
      <c r="G129" s="102"/>
      <c r="H129" s="102"/>
      <c r="I129" s="102"/>
      <c r="J129" s="102"/>
      <c r="K129" s="200">
        <f>-(KalkOHNEGrenzKoOptIst!$L$54-KalkOHNEGrenzKoOptIst!$L$32)</f>
        <v>12600</v>
      </c>
      <c r="L129" s="102" t="s">
        <v>41</v>
      </c>
      <c r="M129" s="261"/>
    </row>
    <row r="130" spans="2:15" x14ac:dyDescent="0.25">
      <c r="B130" s="265" t="s">
        <v>78</v>
      </c>
      <c r="C130" s="211" t="s">
        <v>47</v>
      </c>
      <c r="D130" s="211"/>
      <c r="E130" s="211"/>
      <c r="F130" s="211"/>
      <c r="G130" s="211"/>
      <c r="H130" s="211"/>
      <c r="I130" s="211"/>
      <c r="J130" s="211"/>
      <c r="K130" s="266">
        <f>K128+K129</f>
        <v>23600</v>
      </c>
      <c r="L130" s="211" t="s">
        <v>41</v>
      </c>
      <c r="M130" s="261"/>
    </row>
    <row r="131" spans="2:15" x14ac:dyDescent="0.25">
      <c r="B131" s="99" t="s">
        <v>53</v>
      </c>
      <c r="C131" s="102" t="s">
        <v>48</v>
      </c>
      <c r="D131" s="102"/>
      <c r="E131" s="102"/>
      <c r="F131" s="102"/>
      <c r="G131" s="102"/>
      <c r="H131" s="102"/>
      <c r="I131" s="102"/>
      <c r="J131" s="102"/>
      <c r="K131" s="200">
        <f>KalkOHNEGrenzKoOptIst!$L$48</f>
        <v>30</v>
      </c>
      <c r="L131" s="102" t="s">
        <v>86</v>
      </c>
      <c r="M131" s="261"/>
    </row>
    <row r="132" spans="2:15" x14ac:dyDescent="0.25">
      <c r="B132" s="265" t="s">
        <v>78</v>
      </c>
      <c r="C132" s="211" t="s">
        <v>49</v>
      </c>
      <c r="D132" s="211"/>
      <c r="E132" s="211"/>
      <c r="F132" s="211"/>
      <c r="G132" s="211"/>
      <c r="H132" s="211"/>
      <c r="I132" s="211"/>
      <c r="J132" s="211"/>
      <c r="K132" s="272">
        <f>K130/K131</f>
        <v>786.66666666666663</v>
      </c>
      <c r="L132" s="211" t="s">
        <v>29</v>
      </c>
      <c r="M132" s="261"/>
    </row>
    <row r="133" spans="2:15" ht="13" x14ac:dyDescent="0.3">
      <c r="B133" s="269" t="s">
        <v>78</v>
      </c>
      <c r="C133" s="269" t="s">
        <v>14</v>
      </c>
      <c r="D133" s="102"/>
      <c r="E133" s="102"/>
      <c r="F133" s="102"/>
      <c r="G133" s="102"/>
      <c r="H133" s="102"/>
      <c r="I133" s="102"/>
      <c r="J133" s="102"/>
      <c r="K133" s="102"/>
      <c r="L133" s="102"/>
      <c r="M133" s="261"/>
      <c r="N133" s="270"/>
      <c r="O133" s="261"/>
    </row>
    <row r="134" spans="2:15" ht="13" x14ac:dyDescent="0.3">
      <c r="B134" s="269" t="s">
        <v>78</v>
      </c>
      <c r="C134" s="269" t="s">
        <v>15</v>
      </c>
      <c r="D134" s="102"/>
      <c r="E134" s="102"/>
      <c r="F134" s="102"/>
      <c r="G134" s="102"/>
      <c r="H134" s="102"/>
      <c r="I134" s="102"/>
      <c r="J134" s="102"/>
      <c r="K134" s="102"/>
      <c r="L134" s="102"/>
      <c r="M134" s="261"/>
      <c r="N134" s="271"/>
      <c r="O134" s="102"/>
    </row>
    <row r="135" spans="2:15" x14ac:dyDescent="0.25">
      <c r="B135" s="102"/>
      <c r="C135" s="99" t="s">
        <v>24</v>
      </c>
      <c r="D135" s="102"/>
      <c r="E135" s="102"/>
      <c r="F135" s="102"/>
      <c r="G135" s="102"/>
      <c r="H135" s="102"/>
      <c r="I135" s="102"/>
      <c r="J135" s="102"/>
      <c r="K135" s="102"/>
      <c r="L135" s="102"/>
      <c r="M135" s="261"/>
      <c r="N135" s="271"/>
      <c r="O135" s="102"/>
    </row>
    <row r="136" spans="2:15" x14ac:dyDescent="0.25">
      <c r="B136" s="261"/>
      <c r="C136" s="261"/>
      <c r="D136" s="261"/>
      <c r="E136" s="261"/>
      <c r="F136" s="261"/>
      <c r="G136" s="261"/>
      <c r="H136" s="261"/>
      <c r="I136" s="261"/>
      <c r="J136" s="261"/>
      <c r="K136" s="261"/>
      <c r="L136" s="261"/>
      <c r="M136" s="261"/>
      <c r="N136" s="261"/>
      <c r="O136" s="261"/>
    </row>
    <row r="137" spans="2:15" x14ac:dyDescent="0.25">
      <c r="B137" s="261"/>
      <c r="C137" s="261"/>
      <c r="D137" s="261"/>
      <c r="E137" s="261"/>
      <c r="F137" s="261"/>
      <c r="G137" s="261"/>
      <c r="H137" s="261"/>
      <c r="I137" s="261"/>
      <c r="J137" s="261"/>
      <c r="K137" s="261"/>
      <c r="L137" s="261"/>
      <c r="M137" s="261"/>
      <c r="N137" s="261"/>
      <c r="O137" s="261"/>
    </row>
    <row r="138" spans="2:15" ht="14" x14ac:dyDescent="0.25">
      <c r="B138" s="4" t="s">
        <v>183</v>
      </c>
      <c r="C138" s="264"/>
      <c r="D138" s="261"/>
      <c r="E138" s="261"/>
      <c r="F138" s="261"/>
      <c r="G138" s="261"/>
      <c r="H138" s="261"/>
      <c r="I138" s="261"/>
      <c r="J138" s="261"/>
      <c r="K138" s="261"/>
      <c r="M138" s="261"/>
    </row>
    <row r="139" spans="2:15" x14ac:dyDescent="0.25">
      <c r="B139" s="264"/>
      <c r="C139" s="261"/>
      <c r="D139" s="261"/>
      <c r="E139" s="261"/>
      <c r="F139" s="261"/>
      <c r="G139" s="261"/>
      <c r="H139" s="261"/>
      <c r="I139" s="261"/>
      <c r="J139" s="261"/>
      <c r="K139" s="261"/>
      <c r="M139" s="261"/>
    </row>
    <row r="140" spans="2:15" x14ac:dyDescent="0.25">
      <c r="B140" s="274" t="s">
        <v>54</v>
      </c>
      <c r="C140" s="261"/>
      <c r="D140" s="261"/>
      <c r="E140" s="261"/>
      <c r="F140" s="261"/>
      <c r="G140" s="261"/>
      <c r="H140" s="261"/>
      <c r="I140" s="261"/>
      <c r="J140" s="261"/>
      <c r="K140" s="261"/>
      <c r="M140" s="261"/>
    </row>
    <row r="141" spans="2:15" x14ac:dyDescent="0.25">
      <c r="C141" s="102" t="s">
        <v>148</v>
      </c>
      <c r="D141" s="102"/>
      <c r="E141" s="102"/>
      <c r="G141" s="102"/>
      <c r="H141" s="102"/>
      <c r="I141" s="102"/>
      <c r="J141" s="102"/>
      <c r="K141" s="200">
        <f>-SUM(KalkOHNEGrenzKoOptIst!L55:L58)</f>
        <v>41160</v>
      </c>
      <c r="L141" s="102" t="s">
        <v>41</v>
      </c>
      <c r="M141" s="261"/>
    </row>
    <row r="142" spans="2:15" x14ac:dyDescent="0.25">
      <c r="B142" s="99" t="s">
        <v>53</v>
      </c>
      <c r="C142" s="102" t="s">
        <v>80</v>
      </c>
      <c r="D142" s="102"/>
      <c r="E142" s="102"/>
      <c r="G142" s="102"/>
      <c r="H142" s="102"/>
      <c r="I142" s="102"/>
      <c r="J142" s="102"/>
      <c r="K142" s="200">
        <f>SUM(KalkOHNEGrenzKoOptIst!H55:H56)</f>
        <v>504000</v>
      </c>
      <c r="L142" s="102" t="s">
        <v>41</v>
      </c>
      <c r="M142" s="261"/>
    </row>
    <row r="143" spans="2:15" x14ac:dyDescent="0.25">
      <c r="B143" s="99" t="s">
        <v>78</v>
      </c>
      <c r="C143" s="102" t="s">
        <v>54</v>
      </c>
      <c r="D143" s="102"/>
      <c r="E143" s="102"/>
      <c r="G143" s="102"/>
      <c r="H143" s="102"/>
      <c r="I143" s="102"/>
      <c r="J143" s="102"/>
      <c r="K143" s="275">
        <f>K141/K142</f>
        <v>8.1666666666666665E-2</v>
      </c>
      <c r="L143" s="102"/>
      <c r="M143" s="261"/>
    </row>
    <row r="144" spans="2:15" x14ac:dyDescent="0.25">
      <c r="C144" s="102"/>
      <c r="D144" s="102"/>
      <c r="E144" s="102"/>
      <c r="G144" s="102"/>
      <c r="H144" s="102"/>
      <c r="I144" s="102"/>
      <c r="J144" s="102"/>
      <c r="K144" s="102"/>
      <c r="L144" s="102"/>
      <c r="M144" s="261"/>
    </row>
    <row r="145" spans="2:13" x14ac:dyDescent="0.25">
      <c r="B145" s="274" t="s">
        <v>55</v>
      </c>
      <c r="C145" s="102"/>
      <c r="D145" s="102"/>
      <c r="E145" s="102"/>
      <c r="G145" s="102"/>
      <c r="H145" s="102"/>
      <c r="I145" s="102"/>
      <c r="J145" s="102"/>
      <c r="K145" s="262"/>
      <c r="L145" s="102"/>
      <c r="M145" s="261"/>
    </row>
    <row r="146" spans="2:13" x14ac:dyDescent="0.25">
      <c r="C146" s="102" t="s">
        <v>182</v>
      </c>
      <c r="D146" s="102"/>
      <c r="E146" s="102"/>
      <c r="G146" s="102"/>
      <c r="H146" s="102"/>
      <c r="I146" s="102"/>
      <c r="J146" s="102"/>
      <c r="K146" s="200">
        <f>KalkOHNEGrenzKoOptIst!$L$63</f>
        <v>11000</v>
      </c>
      <c r="L146" s="102" t="s">
        <v>41</v>
      </c>
      <c r="M146" s="261"/>
    </row>
    <row r="147" spans="2:13" x14ac:dyDescent="0.25">
      <c r="B147" s="99" t="s">
        <v>77</v>
      </c>
      <c r="C147" s="102" t="s">
        <v>148</v>
      </c>
      <c r="D147" s="102"/>
      <c r="E147" s="102"/>
      <c r="G147" s="102"/>
      <c r="H147" s="102"/>
      <c r="I147" s="102"/>
      <c r="J147" s="102"/>
      <c r="K147" s="200">
        <f>-SUM(KalkOHNEGrenzKoOptIst!L55:L58)</f>
        <v>41160</v>
      </c>
      <c r="L147" s="102" t="s">
        <v>41</v>
      </c>
      <c r="M147" s="261"/>
    </row>
    <row r="148" spans="2:13" x14ac:dyDescent="0.25">
      <c r="B148" s="265" t="s">
        <v>78</v>
      </c>
      <c r="C148" s="211" t="s">
        <v>50</v>
      </c>
      <c r="D148" s="211"/>
      <c r="E148" s="211"/>
      <c r="F148" s="211"/>
      <c r="G148" s="211"/>
      <c r="H148" s="211"/>
      <c r="I148" s="211"/>
      <c r="J148" s="211"/>
      <c r="K148" s="266">
        <f>K146+K147</f>
        <v>52160</v>
      </c>
      <c r="L148" s="211" t="s">
        <v>41</v>
      </c>
      <c r="M148" s="261"/>
    </row>
    <row r="149" spans="2:13" x14ac:dyDescent="0.25">
      <c r="B149" s="99" t="s">
        <v>53</v>
      </c>
      <c r="C149" s="102" t="s">
        <v>54</v>
      </c>
      <c r="D149" s="102"/>
      <c r="E149" s="102"/>
      <c r="F149" s="102"/>
      <c r="G149" s="102"/>
      <c r="H149" s="102"/>
      <c r="I149" s="102"/>
      <c r="J149" s="102"/>
      <c r="K149" s="276">
        <f>K143</f>
        <v>8.1666666666666665E-2</v>
      </c>
      <c r="L149" s="102"/>
      <c r="M149" s="261"/>
    </row>
    <row r="150" spans="2:13" x14ac:dyDescent="0.25">
      <c r="B150" s="265" t="s">
        <v>78</v>
      </c>
      <c r="C150" s="211" t="s">
        <v>55</v>
      </c>
      <c r="D150" s="211"/>
      <c r="E150" s="211"/>
      <c r="F150" s="211"/>
      <c r="G150" s="211"/>
      <c r="H150" s="211"/>
      <c r="I150" s="211"/>
      <c r="J150" s="211"/>
      <c r="K150" s="266">
        <f>K148/K149</f>
        <v>638693.87755102047</v>
      </c>
      <c r="L150" s="211" t="s">
        <v>41</v>
      </c>
      <c r="M150" s="261"/>
    </row>
    <row r="151" spans="2:13" x14ac:dyDescent="0.25">
      <c r="B151" s="277"/>
      <c r="C151" s="278"/>
      <c r="D151" s="261"/>
      <c r="E151" s="261"/>
      <c r="G151" s="261"/>
      <c r="H151" s="261"/>
      <c r="I151" s="279"/>
      <c r="J151" s="278"/>
      <c r="K151" s="261"/>
      <c r="M151" s="261"/>
    </row>
    <row r="152" spans="2:13" x14ac:dyDescent="0.25">
      <c r="B152" s="102" t="s">
        <v>184</v>
      </c>
      <c r="C152" s="264"/>
      <c r="D152" s="102"/>
      <c r="E152" s="102"/>
      <c r="G152" s="102"/>
      <c r="H152" s="102"/>
      <c r="I152" s="102"/>
      <c r="J152" s="102"/>
      <c r="K152" s="102"/>
      <c r="M152" s="261"/>
    </row>
    <row r="153" spans="2:13" x14ac:dyDescent="0.25">
      <c r="B153" s="102" t="s">
        <v>185</v>
      </c>
      <c r="C153" s="264"/>
      <c r="D153" s="102"/>
      <c r="E153" s="102"/>
      <c r="G153" s="102"/>
      <c r="H153" s="102"/>
      <c r="I153" s="102"/>
      <c r="J153" s="102"/>
      <c r="K153" s="102"/>
      <c r="M153" s="261"/>
    </row>
    <row r="154" spans="2:13" x14ac:dyDescent="0.25">
      <c r="B154" s="102" t="s">
        <v>4</v>
      </c>
      <c r="C154" s="102" t="s">
        <v>186</v>
      </c>
      <c r="D154" s="102"/>
      <c r="E154" s="264"/>
      <c r="I154" s="200">
        <f>K150*(KalkOHNEGrenzKoOptIst!N55/SUM(KalkOHNEGrenzKoOptIst!N55:N56))</f>
        <v>425795.91836734698</v>
      </c>
      <c r="J154" s="102" t="s">
        <v>205</v>
      </c>
      <c r="K154" s="280">
        <f>I154/KalkOHNEGrenzKoOptIst!$B$45</f>
        <v>354.82993197278915</v>
      </c>
      <c r="L154" s="102" t="s">
        <v>52</v>
      </c>
      <c r="M154" s="261"/>
    </row>
    <row r="155" spans="2:13" x14ac:dyDescent="0.25">
      <c r="B155" s="102" t="s">
        <v>4</v>
      </c>
      <c r="C155" s="102" t="s">
        <v>187</v>
      </c>
      <c r="D155" s="102"/>
      <c r="E155" s="264"/>
      <c r="I155" s="200">
        <f>K150-I154</f>
        <v>212897.95918367349</v>
      </c>
      <c r="J155" s="102" t="s">
        <v>205</v>
      </c>
      <c r="K155" s="280">
        <f>I155/KalkOHNEGrenzKoOptIst!$B$45</f>
        <v>177.41496598639458</v>
      </c>
      <c r="L155" s="102" t="s">
        <v>52</v>
      </c>
      <c r="M155" s="261"/>
    </row>
    <row r="156" spans="2:13" x14ac:dyDescent="0.25"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  <c r="M156" s="261"/>
    </row>
    <row r="157" spans="2:13" x14ac:dyDescent="0.25">
      <c r="M157" s="261"/>
    </row>
    <row r="158" spans="2:13" x14ac:dyDescent="0.25">
      <c r="M158" s="261"/>
    </row>
    <row r="159" spans="2:13" x14ac:dyDescent="0.25">
      <c r="M159" s="261"/>
    </row>
    <row r="160" spans="2:13" x14ac:dyDescent="0.25">
      <c r="M160" s="261"/>
    </row>
    <row r="161" spans="2:20" x14ac:dyDescent="0.25">
      <c r="M161" s="261"/>
    </row>
    <row r="162" spans="2:20" ht="14" x14ac:dyDescent="0.25">
      <c r="B162" s="260" t="s">
        <v>188</v>
      </c>
      <c r="C162" s="261"/>
      <c r="D162" s="264"/>
      <c r="E162" s="261"/>
      <c r="F162" s="261"/>
      <c r="G162" s="261"/>
      <c r="H162" s="261"/>
      <c r="I162" s="261"/>
      <c r="J162" s="261"/>
      <c r="K162" s="261"/>
      <c r="L162" s="261"/>
      <c r="M162" s="261"/>
      <c r="N162" s="261"/>
      <c r="O162" s="261"/>
      <c r="P162" s="261"/>
      <c r="Q162" s="261"/>
      <c r="R162" s="261"/>
      <c r="S162" s="261"/>
      <c r="T162" s="261"/>
    </row>
    <row r="163" spans="2:20" x14ac:dyDescent="0.25">
      <c r="B163" s="261"/>
      <c r="C163" s="261"/>
      <c r="D163" s="264"/>
      <c r="E163" s="261"/>
      <c r="F163" s="261"/>
      <c r="G163" s="261"/>
      <c r="H163" s="261"/>
      <c r="I163" s="261"/>
      <c r="J163" s="261"/>
      <c r="K163" s="261"/>
      <c r="L163" s="261"/>
      <c r="M163" s="261"/>
      <c r="N163" s="261"/>
      <c r="O163" s="261"/>
      <c r="P163" s="261"/>
      <c r="Q163" s="261"/>
      <c r="R163" s="261"/>
      <c r="S163" s="261"/>
      <c r="T163" s="261"/>
    </row>
    <row r="164" spans="2:20" x14ac:dyDescent="0.25">
      <c r="B164" s="263" t="s">
        <v>189</v>
      </c>
      <c r="C164" s="261"/>
      <c r="D164" s="264"/>
      <c r="E164" s="261"/>
      <c r="F164" s="261"/>
      <c r="G164" s="261"/>
      <c r="H164" s="261"/>
      <c r="I164" s="261"/>
      <c r="J164" s="261"/>
      <c r="K164" s="261"/>
      <c r="L164" s="261"/>
      <c r="M164" s="261"/>
      <c r="N164" s="261"/>
      <c r="O164" s="261"/>
      <c r="P164" s="261"/>
      <c r="Q164" s="261"/>
      <c r="R164" s="261"/>
      <c r="S164" s="261"/>
      <c r="T164" s="261"/>
    </row>
    <row r="165" spans="2:20" x14ac:dyDescent="0.25">
      <c r="B165" s="261" t="s">
        <v>190</v>
      </c>
      <c r="C165" s="261"/>
      <c r="D165" s="264"/>
      <c r="E165" s="261"/>
      <c r="F165" s="261"/>
      <c r="G165" s="261"/>
      <c r="H165" s="261"/>
      <c r="I165" s="261"/>
      <c r="J165" s="281">
        <v>63000</v>
      </c>
      <c r="K165" s="261" t="s">
        <v>65</v>
      </c>
      <c r="L165" s="261"/>
      <c r="M165" s="282" t="s">
        <v>191</v>
      </c>
      <c r="N165" s="261"/>
      <c r="O165" s="261"/>
    </row>
    <row r="166" spans="2:20" x14ac:dyDescent="0.25">
      <c r="B166" s="261" t="s">
        <v>192</v>
      </c>
      <c r="C166" s="264"/>
      <c r="D166" s="264"/>
      <c r="E166" s="261"/>
      <c r="F166" s="261"/>
      <c r="G166" s="261"/>
      <c r="H166" s="261"/>
      <c r="I166" s="261"/>
      <c r="J166" s="281">
        <v>440000</v>
      </c>
      <c r="K166" s="261" t="s">
        <v>41</v>
      </c>
      <c r="L166" s="261"/>
      <c r="M166" s="282" t="s">
        <v>191</v>
      </c>
      <c r="N166" s="261"/>
      <c r="O166" s="261"/>
    </row>
    <row r="167" spans="2:20" x14ac:dyDescent="0.25">
      <c r="B167" s="261" t="s">
        <v>111</v>
      </c>
      <c r="C167" s="264"/>
      <c r="E167" s="283">
        <v>0.8</v>
      </c>
      <c r="F167" s="261" t="s">
        <v>193</v>
      </c>
      <c r="H167" s="261"/>
      <c r="I167" s="261"/>
      <c r="J167" s="243">
        <f>KalkOHNEGrenzKoOptIst!J176</f>
        <v>4</v>
      </c>
      <c r="K167" s="203" t="s">
        <v>28</v>
      </c>
      <c r="L167" s="261"/>
      <c r="M167" s="282" t="s">
        <v>194</v>
      </c>
      <c r="N167" s="261"/>
      <c r="O167" s="261"/>
    </row>
    <row r="168" spans="2:20" x14ac:dyDescent="0.25">
      <c r="B168" s="261"/>
      <c r="C168" s="264"/>
      <c r="E168" s="284">
        <f>1-E167</f>
        <v>0.19999999999999996</v>
      </c>
      <c r="F168" s="261" t="s">
        <v>195</v>
      </c>
      <c r="H168" s="261"/>
      <c r="I168" s="261"/>
      <c r="J168" s="243">
        <f>KalkOHNEGrenzKoOptIst!J177</f>
        <v>6</v>
      </c>
      <c r="K168" s="203" t="s">
        <v>28</v>
      </c>
      <c r="L168" s="261"/>
      <c r="M168" s="282" t="s">
        <v>194</v>
      </c>
      <c r="N168" s="261"/>
      <c r="O168" s="261"/>
    </row>
    <row r="169" spans="2:20" x14ac:dyDescent="0.25">
      <c r="B169" s="261" t="s">
        <v>196</v>
      </c>
      <c r="C169" s="264"/>
      <c r="D169" s="264"/>
      <c r="E169" s="261"/>
      <c r="F169" s="261"/>
      <c r="G169" s="261"/>
      <c r="H169" s="261"/>
      <c r="I169" s="261"/>
      <c r="J169" s="261">
        <f>KalkOHNEGrenzKoOptIst!J178</f>
        <v>12</v>
      </c>
      <c r="K169" s="261" t="str">
        <f>KalkOHNEGrenzKoOptIst!K178</f>
        <v>€/AKh</v>
      </c>
      <c r="L169" s="261"/>
      <c r="M169" s="282" t="s">
        <v>194</v>
      </c>
      <c r="N169" s="261"/>
      <c r="O169" s="261"/>
    </row>
    <row r="170" spans="2:20" x14ac:dyDescent="0.25">
      <c r="B170" s="261" t="s">
        <v>108</v>
      </c>
      <c r="C170" s="264"/>
      <c r="D170" s="264"/>
      <c r="E170" s="261"/>
      <c r="F170" s="261"/>
      <c r="G170" s="261"/>
      <c r="H170" s="261"/>
      <c r="I170" s="261"/>
      <c r="J170" s="261"/>
      <c r="K170" s="261"/>
      <c r="L170" s="261"/>
      <c r="M170" s="282"/>
      <c r="N170" s="261"/>
      <c r="O170" s="261"/>
    </row>
    <row r="171" spans="2:20" x14ac:dyDescent="0.25">
      <c r="B171" s="261" t="s">
        <v>110</v>
      </c>
      <c r="C171" s="264"/>
      <c r="D171" s="264"/>
      <c r="E171" s="247">
        <v>40</v>
      </c>
      <c r="F171" s="261" t="s">
        <v>109</v>
      </c>
      <c r="G171" s="261"/>
      <c r="J171" s="202">
        <v>400</v>
      </c>
      <c r="K171" s="203" t="s">
        <v>29</v>
      </c>
      <c r="L171" s="261"/>
      <c r="M171" s="282" t="s">
        <v>191</v>
      </c>
      <c r="N171" s="261"/>
      <c r="O171" s="261"/>
    </row>
    <row r="172" spans="2:20" x14ac:dyDescent="0.25">
      <c r="B172" s="285"/>
      <c r="C172" s="264"/>
      <c r="D172" s="264"/>
      <c r="E172" s="261">
        <f>KalkOHNEGrenzKoOptIst!L15-E171</f>
        <v>60</v>
      </c>
      <c r="F172" s="261" t="s">
        <v>197</v>
      </c>
      <c r="G172" s="261"/>
      <c r="J172" s="261">
        <f>KalkOHNEGrenzKoOptIst!J179</f>
        <v>420</v>
      </c>
      <c r="K172" s="261" t="str">
        <f>KalkOHNEGrenzKoOptIst!K179</f>
        <v>€/ha</v>
      </c>
      <c r="L172" s="261"/>
      <c r="M172" s="282" t="s">
        <v>194</v>
      </c>
      <c r="N172" s="261"/>
      <c r="O172" s="261"/>
    </row>
    <row r="173" spans="2:20" x14ac:dyDescent="0.25"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  <c r="L173" s="264"/>
      <c r="M173" s="171"/>
      <c r="N173" s="264"/>
      <c r="O173" s="264"/>
    </row>
    <row r="174" spans="2:20" x14ac:dyDescent="0.25"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171"/>
      <c r="N174" s="264"/>
      <c r="O174" s="264"/>
    </row>
    <row r="175" spans="2:20" x14ac:dyDescent="0.25">
      <c r="B175" s="263" t="s">
        <v>198</v>
      </c>
      <c r="C175" s="261"/>
      <c r="D175" s="264"/>
      <c r="E175" s="261"/>
      <c r="F175" s="261"/>
      <c r="G175" s="261"/>
      <c r="H175" s="261"/>
      <c r="I175" s="261"/>
      <c r="J175" s="261"/>
      <c r="K175" s="261"/>
      <c r="L175" s="261"/>
      <c r="M175" s="282"/>
      <c r="N175" s="261"/>
      <c r="O175" s="261"/>
    </row>
    <row r="176" spans="2:20" x14ac:dyDescent="0.25">
      <c r="B176" s="261" t="s">
        <v>4</v>
      </c>
      <c r="C176" s="261" t="s">
        <v>127</v>
      </c>
      <c r="D176" s="264"/>
      <c r="E176" s="286">
        <v>0.5</v>
      </c>
      <c r="F176" s="261" t="s">
        <v>134</v>
      </c>
      <c r="I176" s="261"/>
      <c r="J176" s="202">
        <v>4</v>
      </c>
      <c r="K176" s="203" t="s">
        <v>28</v>
      </c>
      <c r="L176" s="261"/>
      <c r="M176" s="282" t="s">
        <v>191</v>
      </c>
      <c r="N176" s="261"/>
      <c r="O176" s="261"/>
    </row>
    <row r="177" spans="2:20" x14ac:dyDescent="0.25">
      <c r="B177" s="261"/>
      <c r="C177" s="261"/>
      <c r="D177" s="264"/>
      <c r="E177" s="287">
        <f>1-E176</f>
        <v>0.5</v>
      </c>
      <c r="F177" s="261" t="s">
        <v>135</v>
      </c>
      <c r="I177" s="261"/>
      <c r="J177" s="243">
        <f>(KalkOHNEGrenzKoOptIst!J30-KalkOHNEGrenzKoOptIst!E176*KalkOHNEGrenzKoOptIst!J176)/KalkOHNEGrenzKoOptIst!E177</f>
        <v>6</v>
      </c>
      <c r="K177" s="203" t="s">
        <v>28</v>
      </c>
      <c r="L177" s="261"/>
      <c r="M177" s="282" t="s">
        <v>199</v>
      </c>
      <c r="N177" s="261"/>
      <c r="O177" s="261"/>
    </row>
    <row r="178" spans="2:20" x14ac:dyDescent="0.25">
      <c r="B178" s="261" t="s">
        <v>4</v>
      </c>
      <c r="C178" s="261" t="s">
        <v>128</v>
      </c>
      <c r="D178" s="264"/>
      <c r="E178" s="261" t="s">
        <v>136</v>
      </c>
      <c r="F178" s="261"/>
      <c r="I178" s="261"/>
      <c r="J178" s="243">
        <f>KalkOHNEGrenzKoOptIst!J31</f>
        <v>12</v>
      </c>
      <c r="K178" s="203" t="s">
        <v>27</v>
      </c>
      <c r="L178" s="261"/>
      <c r="M178" s="171" t="s">
        <v>200</v>
      </c>
      <c r="N178" s="264"/>
      <c r="O178" s="264"/>
    </row>
    <row r="179" spans="2:20" x14ac:dyDescent="0.25">
      <c r="B179" s="261" t="s">
        <v>4</v>
      </c>
      <c r="C179" s="261" t="s">
        <v>129</v>
      </c>
      <c r="D179" s="264"/>
      <c r="E179" s="261" t="s">
        <v>137</v>
      </c>
      <c r="F179" s="261"/>
      <c r="I179" s="261"/>
      <c r="J179" s="243">
        <f>KalkOHNEGrenzKoOptIst!J32</f>
        <v>420</v>
      </c>
      <c r="K179" s="203" t="s">
        <v>29</v>
      </c>
      <c r="L179" s="264"/>
      <c r="M179" s="171" t="s">
        <v>200</v>
      </c>
      <c r="N179" s="264"/>
      <c r="O179" s="264"/>
    </row>
    <row r="180" spans="2:20" x14ac:dyDescent="0.25">
      <c r="B180" s="264"/>
      <c r="C180" s="278" t="s">
        <v>138</v>
      </c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  <c r="P180" s="264"/>
      <c r="Q180" s="261"/>
      <c r="R180" s="261"/>
      <c r="S180" s="261"/>
      <c r="T180" s="261"/>
    </row>
    <row r="181" spans="2:20" x14ac:dyDescent="0.25">
      <c r="B181" s="264"/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  <c r="P181" s="264"/>
      <c r="Q181" s="264"/>
      <c r="R181" s="264"/>
      <c r="S181" s="264"/>
      <c r="T181" s="264"/>
    </row>
    <row r="182" spans="2:20" x14ac:dyDescent="0.25">
      <c r="B182" s="264"/>
      <c r="C182" s="264"/>
      <c r="D182" s="264"/>
      <c r="E182" s="264"/>
      <c r="F182" s="264"/>
      <c r="G182" s="264"/>
      <c r="H182" s="264"/>
      <c r="I182" s="264"/>
      <c r="J182" s="264"/>
      <c r="K182" s="264"/>
      <c r="L182" s="264"/>
      <c r="M182" s="264"/>
      <c r="N182" s="264"/>
      <c r="O182" s="264"/>
      <c r="P182" s="264"/>
      <c r="Q182" s="264"/>
      <c r="R182" s="264"/>
      <c r="S182" s="264"/>
      <c r="T182" s="264"/>
    </row>
    <row r="183" spans="2:20" x14ac:dyDescent="0.25">
      <c r="B183" s="263" t="s">
        <v>130</v>
      </c>
      <c r="C183" s="264"/>
      <c r="D183" s="264"/>
      <c r="E183" s="264"/>
      <c r="F183" s="264"/>
      <c r="G183" s="264"/>
      <c r="H183" s="264"/>
      <c r="I183" s="264"/>
      <c r="J183" s="264"/>
      <c r="K183" s="264"/>
      <c r="L183" s="264"/>
      <c r="M183" s="264"/>
      <c r="N183" s="264"/>
      <c r="O183" s="264"/>
      <c r="P183" s="264"/>
      <c r="Q183" s="264"/>
      <c r="R183" s="264"/>
      <c r="S183" s="264"/>
      <c r="T183" s="264"/>
    </row>
    <row r="184" spans="2:20" x14ac:dyDescent="0.25">
      <c r="B184" s="261"/>
      <c r="C184" s="261"/>
      <c r="D184" s="264"/>
      <c r="E184" s="261"/>
      <c r="F184" s="261"/>
      <c r="G184" s="261"/>
      <c r="H184" s="288" t="s">
        <v>146</v>
      </c>
      <c r="I184" s="289" t="s">
        <v>145</v>
      </c>
      <c r="J184" s="290"/>
      <c r="K184" s="289" t="s">
        <v>153</v>
      </c>
      <c r="L184" s="291"/>
      <c r="M184" s="261"/>
      <c r="N184" s="261"/>
      <c r="S184" s="261"/>
      <c r="T184" s="264"/>
    </row>
    <row r="185" spans="2:20" x14ac:dyDescent="0.25">
      <c r="B185" s="261"/>
      <c r="C185" s="261"/>
      <c r="D185" s="264"/>
      <c r="E185" s="261"/>
      <c r="F185" s="261"/>
      <c r="G185" s="261"/>
      <c r="H185" s="292" t="s">
        <v>147</v>
      </c>
      <c r="I185" s="292" t="s">
        <v>144</v>
      </c>
      <c r="J185" s="293" t="s">
        <v>90</v>
      </c>
      <c r="K185" s="292" t="s">
        <v>144</v>
      </c>
      <c r="L185" s="294" t="s">
        <v>90</v>
      </c>
      <c r="M185" s="261"/>
      <c r="N185" s="261"/>
      <c r="S185" s="261"/>
      <c r="T185" s="264"/>
    </row>
    <row r="186" spans="2:20" ht="13" x14ac:dyDescent="0.3">
      <c r="B186" s="261"/>
      <c r="C186" s="295"/>
      <c r="D186" s="296" t="s">
        <v>93</v>
      </c>
      <c r="E186" s="297"/>
      <c r="F186" s="297"/>
      <c r="G186" s="297"/>
      <c r="H186" s="298">
        <f>KalkOHNEGrenzKoOptIst!F15</f>
        <v>112850</v>
      </c>
      <c r="I186" s="299">
        <f>KalkOHNEGrenzKoOptIst!F26</f>
        <v>11850</v>
      </c>
      <c r="J186" s="300">
        <f>H186+I186</f>
        <v>124700</v>
      </c>
      <c r="K186" s="299">
        <f>KalkOHNEGrenzKoOptIst!F47</f>
        <v>98850</v>
      </c>
      <c r="L186" s="301">
        <f>H186+K186</f>
        <v>211700</v>
      </c>
      <c r="M186" s="261"/>
      <c r="N186" s="261"/>
      <c r="S186" s="261"/>
      <c r="T186" s="264"/>
    </row>
    <row r="187" spans="2:20" x14ac:dyDescent="0.25">
      <c r="B187" s="261"/>
      <c r="C187" s="302" t="s">
        <v>77</v>
      </c>
      <c r="D187" s="303" t="s">
        <v>164</v>
      </c>
      <c r="E187" s="304">
        <f>KalkOHNEGrenzKoOptIst!J60</f>
        <v>300</v>
      </c>
      <c r="F187" s="196" t="s">
        <v>29</v>
      </c>
      <c r="G187" s="304"/>
      <c r="H187" s="305">
        <f>E187*KalkOHNEGrenzKoOptIst!L15</f>
        <v>30000</v>
      </c>
      <c r="I187" s="306">
        <f>J187-H187</f>
        <v>0</v>
      </c>
      <c r="J187" s="307">
        <f>E187*KalkOHNEGrenzKoOptIst!L25</f>
        <v>30000</v>
      </c>
      <c r="K187" s="306">
        <f>KalkOHNEGrenzKoOptIst!L60</f>
        <v>9000</v>
      </c>
      <c r="L187" s="308">
        <f>H187+K187</f>
        <v>39000</v>
      </c>
      <c r="M187" s="261"/>
      <c r="N187" s="261"/>
      <c r="S187" s="261"/>
      <c r="T187" s="264"/>
    </row>
    <row r="188" spans="2:20" x14ac:dyDescent="0.25">
      <c r="B188" s="261"/>
      <c r="C188" s="309" t="s">
        <v>76</v>
      </c>
      <c r="D188" s="310" t="s">
        <v>201</v>
      </c>
      <c r="E188" s="304"/>
      <c r="F188" s="304"/>
      <c r="G188" s="311" t="s">
        <v>122</v>
      </c>
      <c r="H188" s="312">
        <f>J165</f>
        <v>63000</v>
      </c>
      <c r="I188" s="313">
        <f>SUM(I200:I203)</f>
        <v>0</v>
      </c>
      <c r="J188" s="314">
        <f>H188+I188</f>
        <v>63000</v>
      </c>
      <c r="K188" s="313">
        <f>SUM(K200:K203)</f>
        <v>30421</v>
      </c>
      <c r="L188" s="315">
        <f>H188+K188</f>
        <v>93421</v>
      </c>
      <c r="M188" s="261"/>
      <c r="N188" s="261"/>
      <c r="S188" s="261"/>
      <c r="T188" s="264"/>
    </row>
    <row r="189" spans="2:20" ht="13" x14ac:dyDescent="0.3">
      <c r="B189" s="261"/>
      <c r="C189" s="316" t="s">
        <v>78</v>
      </c>
      <c r="D189" s="317" t="s">
        <v>59</v>
      </c>
      <c r="E189" s="318"/>
      <c r="F189" s="318"/>
      <c r="G189" s="318"/>
      <c r="H189" s="319">
        <f>H186+H187-H188</f>
        <v>79850</v>
      </c>
      <c r="I189" s="320">
        <f>I186+I187-I188</f>
        <v>11850</v>
      </c>
      <c r="J189" s="321">
        <f>J186+J187-J188</f>
        <v>91700</v>
      </c>
      <c r="K189" s="320">
        <f>K186+K187-K188</f>
        <v>77429</v>
      </c>
      <c r="L189" s="322">
        <f>L186+L187-L188</f>
        <v>157279</v>
      </c>
      <c r="M189" s="261"/>
      <c r="N189" s="261"/>
      <c r="S189" s="261"/>
      <c r="T189" s="264"/>
    </row>
    <row r="190" spans="2:20" x14ac:dyDescent="0.25">
      <c r="B190" s="261"/>
      <c r="C190" s="309" t="s">
        <v>76</v>
      </c>
      <c r="D190" s="310" t="s">
        <v>202</v>
      </c>
      <c r="E190" s="304"/>
      <c r="F190" s="304"/>
      <c r="G190" s="311" t="s">
        <v>124</v>
      </c>
      <c r="H190" s="312">
        <f>KalkOHNEGrenzKoOptIst!J166*KalkOHNEGrenzKoOptIst!E168*KalkOHNEGrenzKoOptIst!J168%+KalkOHNEGrenzKoOptIst!E172*KalkOHNEGrenzKoOptIst!J172</f>
        <v>30480</v>
      </c>
      <c r="I190" s="313">
        <f>SUM(I207:I209)</f>
        <v>0</v>
      </c>
      <c r="J190" s="314">
        <f>H190+I190</f>
        <v>30480</v>
      </c>
      <c r="K190" s="313">
        <f>SUM(K207:K209)</f>
        <v>23553</v>
      </c>
      <c r="L190" s="315">
        <f>H190+K190</f>
        <v>54033</v>
      </c>
      <c r="M190" s="261"/>
      <c r="N190" s="261"/>
      <c r="S190" s="261"/>
      <c r="T190" s="264"/>
    </row>
    <row r="191" spans="2:20" ht="13" x14ac:dyDescent="0.3">
      <c r="B191" s="261"/>
      <c r="C191" s="316" t="s">
        <v>78</v>
      </c>
      <c r="D191" s="317" t="s">
        <v>60</v>
      </c>
      <c r="E191" s="318"/>
      <c r="F191" s="318"/>
      <c r="G191" s="318"/>
      <c r="H191" s="319">
        <f>H189-H190</f>
        <v>49370</v>
      </c>
      <c r="I191" s="320">
        <f>I189-I190</f>
        <v>11850</v>
      </c>
      <c r="J191" s="321">
        <f>J189-J190</f>
        <v>61220</v>
      </c>
      <c r="K191" s="320">
        <f>K189-K190</f>
        <v>53876</v>
      </c>
      <c r="L191" s="322">
        <f>L189-L190</f>
        <v>103246</v>
      </c>
      <c r="M191" s="261"/>
      <c r="N191" s="261"/>
      <c r="S191" s="261"/>
      <c r="T191" s="130"/>
    </row>
    <row r="192" spans="2:20" x14ac:dyDescent="0.25">
      <c r="B192" s="261"/>
      <c r="C192" s="309" t="s">
        <v>76</v>
      </c>
      <c r="D192" s="304" t="s">
        <v>133</v>
      </c>
      <c r="E192" s="304"/>
      <c r="F192" s="304"/>
      <c r="G192" s="311" t="s">
        <v>123</v>
      </c>
      <c r="H192" s="312">
        <f>KalkOHNEGrenzKoOptIst!J15*KalkOHNEGrenzKoOptIst!J169+KalkOHNEGrenzKoOptIst!E171*KalkOHNEGrenzKoOptIst!J171+KalkOHNEGrenzKoOptIst!J166*KalkOHNEGrenzKoOptIst!E167*KalkOHNEGrenzKoOptIst!J167%</f>
        <v>61940</v>
      </c>
      <c r="I192" s="313">
        <f>SUM(I213:I215)</f>
        <v>0</v>
      </c>
      <c r="J192" s="314">
        <f>H192+I192</f>
        <v>61940</v>
      </c>
      <c r="K192" s="313">
        <f>SUM(K213:K215)</f>
        <v>31026</v>
      </c>
      <c r="L192" s="315">
        <f>H192+K192</f>
        <v>92966</v>
      </c>
      <c r="M192" s="261"/>
      <c r="N192" s="261"/>
      <c r="S192" s="261"/>
      <c r="T192" s="278"/>
    </row>
    <row r="193" spans="2:20" ht="13" x14ac:dyDescent="0.3">
      <c r="B193" s="261"/>
      <c r="C193" s="323" t="s">
        <v>78</v>
      </c>
      <c r="D193" s="256" t="s">
        <v>61</v>
      </c>
      <c r="E193" s="324"/>
      <c r="F193" s="324"/>
      <c r="G193" s="324"/>
      <c r="H193" s="325">
        <f>H191-H192</f>
        <v>-12570</v>
      </c>
      <c r="I193" s="326">
        <f>I191-I192</f>
        <v>11850</v>
      </c>
      <c r="J193" s="327">
        <f>J191-J192</f>
        <v>-720</v>
      </c>
      <c r="K193" s="326">
        <f>K191-K192</f>
        <v>22850</v>
      </c>
      <c r="L193" s="328">
        <f>L191-L192</f>
        <v>10280</v>
      </c>
      <c r="M193" s="261"/>
      <c r="N193" s="261"/>
      <c r="S193" s="261"/>
      <c r="T193" s="329"/>
    </row>
    <row r="194" spans="2:20" x14ac:dyDescent="0.25">
      <c r="B194" s="261"/>
      <c r="C194" s="330"/>
      <c r="D194" s="331"/>
      <c r="E194" s="332"/>
      <c r="F194" s="332"/>
      <c r="G194" s="332"/>
      <c r="H194" s="333"/>
      <c r="I194" s="333"/>
      <c r="J194" s="333"/>
      <c r="K194" s="334" t="s">
        <v>143</v>
      </c>
      <c r="L194" s="335">
        <f>L193-J193</f>
        <v>11000</v>
      </c>
      <c r="M194" s="261"/>
      <c r="N194" s="261"/>
      <c r="S194" s="261"/>
      <c r="T194" s="278"/>
    </row>
    <row r="195" spans="2:20" x14ac:dyDescent="0.25">
      <c r="B195" s="261"/>
      <c r="C195" s="261"/>
      <c r="D195" s="264"/>
      <c r="E195" s="261"/>
      <c r="F195" s="261"/>
      <c r="G195" s="261"/>
      <c r="H195" s="261"/>
      <c r="I195" s="261"/>
      <c r="J195" s="261"/>
      <c r="K195" s="261"/>
      <c r="L195" s="261"/>
      <c r="M195" s="261"/>
      <c r="N195" s="261"/>
      <c r="S195" s="261"/>
      <c r="T195" s="264"/>
    </row>
    <row r="196" spans="2:20" x14ac:dyDescent="0.25">
      <c r="B196" s="264"/>
      <c r="C196" s="261" t="s">
        <v>203</v>
      </c>
      <c r="D196" s="261"/>
      <c r="E196" s="264"/>
      <c r="F196" s="261"/>
      <c r="G196" s="261"/>
      <c r="H196" s="261"/>
      <c r="I196" s="261"/>
      <c r="J196" s="261"/>
      <c r="K196" s="261"/>
      <c r="L196" s="261"/>
      <c r="M196" s="261"/>
      <c r="N196" s="261"/>
      <c r="S196" s="261"/>
      <c r="T196" s="264"/>
    </row>
    <row r="197" spans="2:20" x14ac:dyDescent="0.25">
      <c r="B197" s="264"/>
      <c r="C197" s="261" t="s">
        <v>204</v>
      </c>
      <c r="D197" s="261"/>
      <c r="E197" s="264"/>
      <c r="F197" s="261"/>
      <c r="G197" s="261"/>
      <c r="H197" s="261"/>
      <c r="I197" s="261"/>
      <c r="J197" s="261"/>
      <c r="K197" s="261"/>
      <c r="L197" s="261"/>
      <c r="M197" s="261"/>
      <c r="N197" s="261"/>
      <c r="S197" s="261"/>
      <c r="T197" s="264"/>
    </row>
    <row r="198" spans="2:20" x14ac:dyDescent="0.25">
      <c r="B198" s="264"/>
      <c r="C198" s="304"/>
      <c r="D198" s="304"/>
      <c r="E198" s="310"/>
      <c r="F198" s="304"/>
      <c r="G198" s="304"/>
      <c r="H198" s="336"/>
      <c r="I198" s="337" t="s">
        <v>145</v>
      </c>
      <c r="J198" s="338"/>
      <c r="K198" s="337" t="s">
        <v>153</v>
      </c>
      <c r="L198" s="338"/>
      <c r="M198" s="261"/>
      <c r="N198" s="261"/>
      <c r="S198" s="261"/>
      <c r="T198" s="264"/>
    </row>
    <row r="199" spans="2:20" ht="13" x14ac:dyDescent="0.3">
      <c r="B199" s="339" t="s">
        <v>73</v>
      </c>
      <c r="C199" s="339" t="s">
        <v>112</v>
      </c>
      <c r="D199" s="310"/>
      <c r="E199" s="304"/>
      <c r="F199" s="304"/>
      <c r="G199" s="304"/>
      <c r="H199" s="336"/>
      <c r="I199" s="340"/>
      <c r="J199" s="341"/>
      <c r="K199" s="340"/>
      <c r="L199" s="341"/>
      <c r="M199" s="261"/>
      <c r="N199" s="261"/>
      <c r="S199" s="261"/>
      <c r="T199" s="264"/>
    </row>
    <row r="200" spans="2:20" x14ac:dyDescent="0.25">
      <c r="B200" s="304"/>
      <c r="C200" s="304"/>
      <c r="D200" s="304" t="s">
        <v>139</v>
      </c>
      <c r="E200" s="304"/>
      <c r="F200" s="304"/>
      <c r="G200" s="304"/>
      <c r="H200" s="336"/>
      <c r="I200" s="342" t="s">
        <v>121</v>
      </c>
      <c r="J200" s="343"/>
      <c r="K200" s="314">
        <f>-KalkOHNEGrenzKoOptIst!L55</f>
        <v>13440</v>
      </c>
      <c r="L200" s="344" t="s">
        <v>41</v>
      </c>
      <c r="M200" s="261"/>
      <c r="N200" s="261"/>
      <c r="S200" s="261"/>
      <c r="T200" s="264"/>
    </row>
    <row r="201" spans="2:20" x14ac:dyDescent="0.25">
      <c r="B201" s="304"/>
      <c r="C201" s="304"/>
      <c r="D201" s="304" t="s">
        <v>140</v>
      </c>
      <c r="E201" s="304"/>
      <c r="F201" s="304"/>
      <c r="G201" s="304"/>
      <c r="H201" s="304"/>
      <c r="I201" s="342" t="s">
        <v>121</v>
      </c>
      <c r="J201" s="343"/>
      <c r="K201" s="314">
        <f>-KalkOHNEGrenzKoOptIst!L56</f>
        <v>13440</v>
      </c>
      <c r="L201" s="344" t="s">
        <v>41</v>
      </c>
      <c r="M201" s="261"/>
      <c r="N201" s="261"/>
      <c r="S201" s="261"/>
      <c r="T201" s="264"/>
    </row>
    <row r="202" spans="2:20" x14ac:dyDescent="0.25">
      <c r="B202" s="304"/>
      <c r="C202" s="304"/>
      <c r="D202" s="304" t="s">
        <v>141</v>
      </c>
      <c r="E202" s="304"/>
      <c r="F202" s="304"/>
      <c r="G202" s="304"/>
      <c r="H202" s="304"/>
      <c r="I202" s="342" t="s">
        <v>121</v>
      </c>
      <c r="J202" s="343"/>
      <c r="K202" s="314">
        <f>-KalkOHNEGrenzKoOptIst!L58</f>
        <v>1680</v>
      </c>
      <c r="L202" s="344" t="s">
        <v>41</v>
      </c>
      <c r="M202" s="261"/>
      <c r="N202" s="261"/>
      <c r="S202" s="261"/>
      <c r="T202" s="264"/>
    </row>
    <row r="203" spans="2:20" x14ac:dyDescent="0.25">
      <c r="B203" s="304"/>
      <c r="C203" s="304"/>
      <c r="D203" s="318" t="s">
        <v>142</v>
      </c>
      <c r="E203" s="318"/>
      <c r="F203" s="318"/>
      <c r="G203" s="318"/>
      <c r="H203" s="318"/>
      <c r="I203" s="345" t="s">
        <v>121</v>
      </c>
      <c r="J203" s="346"/>
      <c r="K203" s="347">
        <f>-KalkOHNEGrenzKoOptIst!L59</f>
        <v>1861</v>
      </c>
      <c r="L203" s="348" t="s">
        <v>41</v>
      </c>
      <c r="M203" s="261"/>
      <c r="N203" s="261"/>
      <c r="S203" s="261"/>
      <c r="T203" s="264"/>
    </row>
    <row r="204" spans="2:20" x14ac:dyDescent="0.25">
      <c r="B204" s="304"/>
      <c r="C204" s="304"/>
      <c r="D204" s="349" t="s">
        <v>92</v>
      </c>
      <c r="E204" s="349"/>
      <c r="F204" s="349"/>
      <c r="G204" s="349"/>
      <c r="H204" s="349"/>
      <c r="I204" s="350" t="s">
        <v>121</v>
      </c>
      <c r="J204" s="351"/>
      <c r="K204" s="352">
        <f>SUM(K200:K203)</f>
        <v>30421</v>
      </c>
      <c r="L204" s="353" t="s">
        <v>41</v>
      </c>
      <c r="M204" s="261"/>
      <c r="N204" s="261"/>
      <c r="S204" s="261"/>
      <c r="T204" s="264"/>
    </row>
    <row r="205" spans="2:20" x14ac:dyDescent="0.25">
      <c r="B205" s="304"/>
      <c r="C205" s="304"/>
      <c r="D205" s="354"/>
      <c r="E205" s="354"/>
      <c r="F205" s="354"/>
      <c r="G205" s="354"/>
      <c r="H205" s="354"/>
      <c r="I205" s="355"/>
      <c r="J205" s="356"/>
      <c r="K205" s="355"/>
      <c r="L205" s="356"/>
      <c r="M205" s="261"/>
      <c r="N205" s="261"/>
      <c r="S205" s="261"/>
      <c r="T205" s="264"/>
    </row>
    <row r="206" spans="2:20" ht="13" x14ac:dyDescent="0.3">
      <c r="B206" s="339" t="s">
        <v>74</v>
      </c>
      <c r="C206" s="339" t="s">
        <v>114</v>
      </c>
      <c r="D206" s="304"/>
      <c r="E206" s="304"/>
      <c r="F206" s="304"/>
      <c r="G206" s="304"/>
      <c r="H206" s="304"/>
      <c r="I206" s="357"/>
      <c r="J206" s="343"/>
      <c r="K206" s="357"/>
      <c r="L206" s="343"/>
      <c r="M206" s="261"/>
      <c r="N206" s="261"/>
      <c r="S206" s="261"/>
      <c r="T206" s="264"/>
    </row>
    <row r="207" spans="2:20" x14ac:dyDescent="0.25">
      <c r="B207" s="304"/>
      <c r="C207" s="304"/>
      <c r="D207" s="304" t="s">
        <v>115</v>
      </c>
      <c r="E207" s="304"/>
      <c r="F207" s="304"/>
      <c r="G207" s="304"/>
      <c r="H207" s="304"/>
      <c r="I207" s="357">
        <v>0</v>
      </c>
      <c r="J207" s="343" t="s">
        <v>41</v>
      </c>
      <c r="K207" s="357">
        <v>0</v>
      </c>
      <c r="L207" s="343" t="s">
        <v>41</v>
      </c>
      <c r="M207" s="261"/>
      <c r="N207" s="261"/>
      <c r="S207" s="261"/>
      <c r="T207" s="264"/>
    </row>
    <row r="208" spans="2:20" x14ac:dyDescent="0.25">
      <c r="B208" s="304"/>
      <c r="C208" s="304"/>
      <c r="D208" s="304" t="s">
        <v>116</v>
      </c>
      <c r="E208" s="304"/>
      <c r="F208" s="304"/>
      <c r="G208" s="304"/>
      <c r="H208" s="304"/>
      <c r="I208" s="357">
        <f>KalkOHNEGrenzKoOptIst!$H$30*KalkOHNEGrenzKoOptIst!$E$177*KalkOHNEGrenzKoOptIst!$J$177%</f>
        <v>0</v>
      </c>
      <c r="J208" s="343" t="s">
        <v>41</v>
      </c>
      <c r="K208" s="357">
        <f>ROUND((KalkOHNEGrenzKoOptIst!$H$57+KalkOHNEGrenzKoOptIst!$H$52)*KalkOHNEGrenzKoOptIst!$E$177*KalkOHNEGrenzKoOptIst!$J$177%,0)</f>
        <v>10953</v>
      </c>
      <c r="L208" s="343" t="s">
        <v>41</v>
      </c>
      <c r="M208" s="261"/>
      <c r="N208" s="261"/>
      <c r="S208" s="261"/>
      <c r="T208" s="264"/>
    </row>
    <row r="209" spans="2:20" x14ac:dyDescent="0.25">
      <c r="B209" s="304"/>
      <c r="C209" s="304"/>
      <c r="D209" s="318" t="s">
        <v>117</v>
      </c>
      <c r="E209" s="318"/>
      <c r="F209" s="318"/>
      <c r="G209" s="318"/>
      <c r="H209" s="318"/>
      <c r="I209" s="347">
        <f>-KalkOHNEGrenzKoOptIst!$L$32</f>
        <v>0</v>
      </c>
      <c r="J209" s="346" t="s">
        <v>41</v>
      </c>
      <c r="K209" s="347">
        <f>-KalkOHNEGrenzKoOptIst!L54</f>
        <v>12600</v>
      </c>
      <c r="L209" s="348" t="s">
        <v>41</v>
      </c>
      <c r="M209" s="261"/>
      <c r="N209" s="261"/>
      <c r="S209" s="261"/>
      <c r="T209" s="264"/>
    </row>
    <row r="210" spans="2:20" x14ac:dyDescent="0.25">
      <c r="B210" s="304"/>
      <c r="C210" s="304"/>
      <c r="D210" s="349" t="s">
        <v>92</v>
      </c>
      <c r="E210" s="349"/>
      <c r="F210" s="349"/>
      <c r="G210" s="349"/>
      <c r="H210" s="349"/>
      <c r="I210" s="352">
        <f>SUM(I207:I209)</f>
        <v>0</v>
      </c>
      <c r="J210" s="351" t="s">
        <v>41</v>
      </c>
      <c r="K210" s="352">
        <f>SUM(K207:K209)</f>
        <v>23553</v>
      </c>
      <c r="L210" s="353" t="s">
        <v>41</v>
      </c>
      <c r="M210" s="261"/>
      <c r="N210" s="261"/>
      <c r="S210" s="261"/>
      <c r="T210" s="264"/>
    </row>
    <row r="211" spans="2:20" x14ac:dyDescent="0.25">
      <c r="B211" s="304"/>
      <c r="C211" s="304"/>
      <c r="D211" s="354"/>
      <c r="E211" s="354"/>
      <c r="F211" s="354"/>
      <c r="G211" s="354"/>
      <c r="H211" s="354"/>
      <c r="I211" s="355"/>
      <c r="J211" s="356"/>
      <c r="K211" s="355"/>
      <c r="L211" s="356"/>
      <c r="M211" s="261"/>
      <c r="N211" s="261"/>
      <c r="S211" s="261"/>
      <c r="T211" s="264"/>
    </row>
    <row r="212" spans="2:20" ht="13" x14ac:dyDescent="0.3">
      <c r="B212" s="339" t="s">
        <v>75</v>
      </c>
      <c r="C212" s="339" t="s">
        <v>113</v>
      </c>
      <c r="D212" s="304"/>
      <c r="E212" s="304"/>
      <c r="F212" s="304"/>
      <c r="G212" s="304"/>
      <c r="H212" s="304"/>
      <c r="I212" s="357"/>
      <c r="J212" s="343"/>
      <c r="K212" s="357"/>
      <c r="L212" s="343"/>
      <c r="M212" s="261"/>
      <c r="N212" s="261"/>
      <c r="S212" s="261"/>
      <c r="T212" s="264"/>
    </row>
    <row r="213" spans="2:20" x14ac:dyDescent="0.25">
      <c r="B213" s="304"/>
      <c r="C213" s="304"/>
      <c r="D213" s="304" t="s">
        <v>118</v>
      </c>
      <c r="E213" s="304"/>
      <c r="F213" s="304"/>
      <c r="G213" s="304"/>
      <c r="H213" s="304"/>
      <c r="I213" s="314">
        <f>-KalkOHNEGrenzKoOptIst!$L$31</f>
        <v>0</v>
      </c>
      <c r="J213" s="343" t="s">
        <v>41</v>
      </c>
      <c r="K213" s="314">
        <f>-KalkOHNEGrenzKoOptIst!$L$53</f>
        <v>23724</v>
      </c>
      <c r="L213" s="344" t="s">
        <v>41</v>
      </c>
      <c r="M213" s="261"/>
      <c r="N213" s="261"/>
      <c r="S213" s="261"/>
      <c r="T213" s="264"/>
    </row>
    <row r="214" spans="2:20" x14ac:dyDescent="0.25">
      <c r="B214" s="304"/>
      <c r="C214" s="304"/>
      <c r="D214" s="304" t="s">
        <v>119</v>
      </c>
      <c r="E214" s="304"/>
      <c r="F214" s="304"/>
      <c r="G214" s="304"/>
      <c r="H214" s="304"/>
      <c r="I214" s="357">
        <f>KalkOHNEGrenzKoOptIst!$H$30*KalkOHNEGrenzKoOptIst!$E$176*KalkOHNEGrenzKoOptIst!$J$176%</f>
        <v>0</v>
      </c>
      <c r="J214" s="343" t="s">
        <v>41</v>
      </c>
      <c r="K214" s="357">
        <f>ROUND((KalkOHNEGrenzKoOptIst!$H$57+KalkOHNEGrenzKoOptIst!$H$52)*KalkOHNEGrenzKoOptIst!$E$176*KalkOHNEGrenzKoOptIst!$J$176%,0)</f>
        <v>7302</v>
      </c>
      <c r="L214" s="343" t="s">
        <v>41</v>
      </c>
      <c r="M214" s="261"/>
      <c r="N214" s="261"/>
      <c r="S214" s="261"/>
      <c r="T214" s="264"/>
    </row>
    <row r="215" spans="2:20" x14ac:dyDescent="0.25">
      <c r="B215" s="304"/>
      <c r="C215" s="304"/>
      <c r="D215" s="318" t="s">
        <v>120</v>
      </c>
      <c r="E215" s="318"/>
      <c r="F215" s="318"/>
      <c r="G215" s="318"/>
      <c r="H215" s="318"/>
      <c r="I215" s="358">
        <v>0</v>
      </c>
      <c r="J215" s="346" t="s">
        <v>41</v>
      </c>
      <c r="K215" s="358">
        <v>0</v>
      </c>
      <c r="L215" s="346" t="s">
        <v>41</v>
      </c>
      <c r="M215" s="261"/>
      <c r="N215" s="261"/>
      <c r="S215" s="261"/>
      <c r="T215" s="264"/>
    </row>
    <row r="216" spans="2:20" x14ac:dyDescent="0.25">
      <c r="B216" s="304"/>
      <c r="C216" s="304"/>
      <c r="D216" s="349" t="s">
        <v>92</v>
      </c>
      <c r="E216" s="349"/>
      <c r="F216" s="349"/>
      <c r="G216" s="349"/>
      <c r="H216" s="349"/>
      <c r="I216" s="352">
        <f>SUM(I213:I215)</f>
        <v>0</v>
      </c>
      <c r="J216" s="351" t="s">
        <v>41</v>
      </c>
      <c r="K216" s="352">
        <f>SUM(K213:K215)</f>
        <v>31026</v>
      </c>
      <c r="L216" s="353" t="s">
        <v>41</v>
      </c>
      <c r="M216" s="261"/>
      <c r="N216" s="261"/>
      <c r="S216" s="261"/>
      <c r="T216" s="264"/>
    </row>
    <row r="217" spans="2:20" x14ac:dyDescent="0.25">
      <c r="B217" s="304"/>
      <c r="C217" s="304"/>
      <c r="D217" s="354"/>
      <c r="E217" s="354"/>
      <c r="F217" s="354"/>
      <c r="G217" s="354"/>
      <c r="H217" s="354"/>
      <c r="I217" s="355"/>
      <c r="J217" s="356"/>
      <c r="K217" s="355"/>
      <c r="L217" s="356"/>
      <c r="M217" s="261"/>
      <c r="N217" s="261"/>
      <c r="S217" s="264"/>
      <c r="T217" s="264"/>
    </row>
    <row r="218" spans="2:20" ht="13" x14ac:dyDescent="0.3">
      <c r="B218" s="339" t="s">
        <v>167</v>
      </c>
      <c r="C218" s="339" t="s">
        <v>168</v>
      </c>
      <c r="D218" s="304"/>
      <c r="E218" s="304"/>
      <c r="F218" s="304"/>
      <c r="G218" s="304"/>
      <c r="H218" s="304"/>
      <c r="I218" s="357"/>
      <c r="J218" s="343"/>
      <c r="K218" s="357"/>
      <c r="L218" s="343"/>
      <c r="M218" s="261"/>
      <c r="N218" s="261"/>
      <c r="S218" s="264"/>
      <c r="T218" s="264"/>
    </row>
    <row r="219" spans="2:20" x14ac:dyDescent="0.25">
      <c r="B219" s="304"/>
      <c r="C219" s="304"/>
      <c r="D219" s="318" t="s">
        <v>169</v>
      </c>
      <c r="E219" s="318"/>
      <c r="F219" s="318"/>
      <c r="G219" s="318"/>
      <c r="H219" s="318"/>
      <c r="I219" s="358">
        <v>0</v>
      </c>
      <c r="J219" s="346" t="s">
        <v>41</v>
      </c>
      <c r="K219" s="347">
        <f>K187</f>
        <v>9000</v>
      </c>
      <c r="L219" s="346" t="s">
        <v>41</v>
      </c>
      <c r="M219" s="261"/>
      <c r="N219" s="261"/>
      <c r="S219" s="264"/>
      <c r="T219" s="264"/>
    </row>
    <row r="220" spans="2:20" x14ac:dyDescent="0.25">
      <c r="B220" s="304"/>
      <c r="C220" s="304"/>
      <c r="D220" s="349" t="s">
        <v>92</v>
      </c>
      <c r="E220" s="349"/>
      <c r="F220" s="349"/>
      <c r="G220" s="349"/>
      <c r="H220" s="349"/>
      <c r="I220" s="352">
        <f>SUM(I219:I219)</f>
        <v>0</v>
      </c>
      <c r="J220" s="351" t="s">
        <v>41</v>
      </c>
      <c r="K220" s="352">
        <f>SUM(K219:K219)</f>
        <v>9000</v>
      </c>
      <c r="L220" s="353" t="s">
        <v>41</v>
      </c>
      <c r="M220" s="261"/>
      <c r="N220" s="261"/>
      <c r="S220" s="264"/>
      <c r="T220" s="264"/>
    </row>
    <row r="221" spans="2:20" x14ac:dyDescent="0.25">
      <c r="B221" s="264"/>
      <c r="C221" s="264"/>
      <c r="D221" s="264"/>
      <c r="E221" s="264"/>
      <c r="F221" s="264"/>
      <c r="G221" s="264"/>
      <c r="H221" s="264"/>
      <c r="I221" s="264"/>
      <c r="J221" s="264"/>
      <c r="K221" s="264"/>
      <c r="L221" s="264"/>
      <c r="M221" s="264"/>
      <c r="N221" s="264"/>
      <c r="S221" s="264"/>
      <c r="T221" s="264"/>
    </row>
    <row r="222" spans="2:20" x14ac:dyDescent="0.25">
      <c r="B222" s="264"/>
      <c r="C222" s="264"/>
      <c r="D222" s="264"/>
      <c r="E222" s="264"/>
      <c r="F222" s="264"/>
      <c r="G222" s="264"/>
      <c r="H222" s="264"/>
      <c r="I222" s="264"/>
      <c r="J222" s="264"/>
      <c r="K222" s="264"/>
      <c r="L222" s="264"/>
      <c r="M222" s="264"/>
      <c r="N222" s="264"/>
      <c r="S222" s="264"/>
      <c r="T222" s="264"/>
    </row>
    <row r="223" spans="2:20" x14ac:dyDescent="0.25">
      <c r="B223" s="264"/>
      <c r="C223" s="264"/>
      <c r="D223" s="264"/>
      <c r="E223" s="264"/>
      <c r="F223" s="264"/>
      <c r="G223" s="264"/>
      <c r="H223" s="264"/>
      <c r="I223" s="264"/>
      <c r="J223" s="264"/>
      <c r="K223" s="264"/>
      <c r="L223" s="264"/>
      <c r="M223" s="264"/>
      <c r="N223" s="264"/>
      <c r="S223" s="264"/>
      <c r="T223" s="264"/>
    </row>
  </sheetData>
  <pageMargins left="0.78740157480314965" right="0.78740157480314965" top="0.39370078740157483" bottom="0.39370078740157483" header="0.51181102362204722" footer="0.19685039370078741"/>
  <pageSetup paperSize="9" scale="88" fitToHeight="0" orientation="portrait" horizontalDpi="1200" verticalDpi="1200" r:id="rId1"/>
  <headerFooter alignWithMargins="0"/>
  <rowBreaks count="1" manualBreakCount="1">
    <brk id="161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3"/>
  <sheetViews>
    <sheetView showGridLines="0" workbookViewId="0"/>
  </sheetViews>
  <sheetFormatPr baseColWidth="10" defaultColWidth="11.453125" defaultRowHeight="12.5" x14ac:dyDescent="0.25"/>
  <cols>
    <col min="1" max="1" width="1.54296875" style="99" customWidth="1"/>
    <col min="2" max="2" width="4.81640625" style="99" customWidth="1"/>
    <col min="3" max="3" width="7.1796875" style="99" customWidth="1"/>
    <col min="4" max="4" width="13.26953125" style="99" customWidth="1"/>
    <col min="5" max="12" width="9.1796875" style="99" customWidth="1"/>
    <col min="13" max="13" width="3.26953125" style="99" customWidth="1"/>
    <col min="14" max="15" width="9" style="99" customWidth="1"/>
    <col min="16" max="16" width="7" style="99" customWidth="1"/>
    <col min="17" max="16384" width="11.453125" style="99"/>
  </cols>
  <sheetData>
    <row r="1" spans="1:12" ht="7.5" customHeight="1" x14ac:dyDescent="0.25"/>
    <row r="2" spans="1:12" ht="14" x14ac:dyDescent="0.3">
      <c r="A2" s="100"/>
      <c r="B2" s="101" t="s">
        <v>107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ht="14" x14ac:dyDescent="0.3">
      <c r="A3" s="100"/>
      <c r="B3" s="103" t="s">
        <v>85</v>
      </c>
      <c r="C3" s="104"/>
      <c r="D3" s="105" t="s">
        <v>101</v>
      </c>
      <c r="E3" s="106" t="s">
        <v>83</v>
      </c>
      <c r="F3" s="107"/>
      <c r="G3" s="106" t="s">
        <v>102</v>
      </c>
      <c r="H3" s="107"/>
      <c r="I3" s="106" t="s">
        <v>103</v>
      </c>
      <c r="J3" s="107"/>
      <c r="K3" s="108" t="s">
        <v>104</v>
      </c>
      <c r="L3" s="107"/>
    </row>
    <row r="4" spans="1:12" ht="14" x14ac:dyDescent="0.3">
      <c r="A4" s="100"/>
      <c r="B4" s="109" t="s">
        <v>10</v>
      </c>
      <c r="C4" s="110"/>
      <c r="D4" s="110" t="s">
        <v>105</v>
      </c>
      <c r="E4" s="111">
        <v>485</v>
      </c>
      <c r="F4" s="112" t="s">
        <v>41</v>
      </c>
      <c r="G4" s="111">
        <v>410</v>
      </c>
      <c r="H4" s="112" t="s">
        <v>41</v>
      </c>
      <c r="I4" s="113">
        <v>7.5</v>
      </c>
      <c r="J4" s="114" t="s">
        <v>26</v>
      </c>
      <c r="K4" s="115">
        <v>1</v>
      </c>
      <c r="L4" s="114" t="s">
        <v>86</v>
      </c>
    </row>
    <row r="5" spans="1:12" ht="14" x14ac:dyDescent="0.3">
      <c r="A5" s="100"/>
      <c r="B5" s="116" t="s">
        <v>25</v>
      </c>
      <c r="C5" s="117"/>
      <c r="D5" s="117" t="s">
        <v>105</v>
      </c>
      <c r="E5" s="118">
        <v>430</v>
      </c>
      <c r="F5" s="119" t="s">
        <v>41</v>
      </c>
      <c r="G5" s="118">
        <v>390</v>
      </c>
      <c r="H5" s="119" t="s">
        <v>41</v>
      </c>
      <c r="I5" s="120">
        <v>7</v>
      </c>
      <c r="J5" s="121" t="s">
        <v>26</v>
      </c>
      <c r="K5" s="122">
        <v>1</v>
      </c>
      <c r="L5" s="121" t="s">
        <v>86</v>
      </c>
    </row>
    <row r="6" spans="1:12" ht="14" x14ac:dyDescent="0.3">
      <c r="A6" s="100"/>
      <c r="B6" s="123" t="s">
        <v>87</v>
      </c>
      <c r="C6" s="124"/>
      <c r="D6" s="124" t="s">
        <v>106</v>
      </c>
      <c r="E6" s="125">
        <v>550</v>
      </c>
      <c r="F6" s="126" t="s">
        <v>41</v>
      </c>
      <c r="G6" s="125">
        <v>420</v>
      </c>
      <c r="H6" s="126" t="s">
        <v>41</v>
      </c>
      <c r="I6" s="127">
        <v>16</v>
      </c>
      <c r="J6" s="128" t="s">
        <v>26</v>
      </c>
      <c r="K6" s="129">
        <v>0</v>
      </c>
      <c r="L6" s="128" t="s">
        <v>86</v>
      </c>
    </row>
    <row r="7" spans="1:12" ht="14" x14ac:dyDescent="0.3">
      <c r="A7" s="100"/>
      <c r="C7" s="102"/>
      <c r="D7" s="102"/>
      <c r="E7" s="102"/>
      <c r="F7" s="102"/>
      <c r="G7" s="102"/>
      <c r="H7" s="102"/>
      <c r="I7" s="102"/>
      <c r="J7" s="102"/>
      <c r="K7" s="102"/>
      <c r="L7" s="130" t="s">
        <v>37</v>
      </c>
    </row>
    <row r="8" spans="1:12" ht="14" x14ac:dyDescent="0.3">
      <c r="A8" s="100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</row>
    <row r="9" spans="1:12" ht="14" x14ac:dyDescent="0.3">
      <c r="A9" s="100"/>
      <c r="B9" s="101" t="s">
        <v>81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</row>
    <row r="10" spans="1:12" ht="14" x14ac:dyDescent="0.3">
      <c r="A10" s="100"/>
      <c r="B10" s="131" t="s">
        <v>82</v>
      </c>
      <c r="C10" s="104"/>
      <c r="D10" s="104"/>
      <c r="E10" s="106" t="s">
        <v>83</v>
      </c>
      <c r="F10" s="107"/>
      <c r="G10" s="106" t="s">
        <v>36</v>
      </c>
      <c r="H10" s="107"/>
      <c r="I10" s="106" t="s">
        <v>35</v>
      </c>
      <c r="J10" s="107"/>
      <c r="K10" s="108" t="s">
        <v>154</v>
      </c>
      <c r="L10" s="107"/>
    </row>
    <row r="11" spans="1:12" ht="14" x14ac:dyDescent="0.3">
      <c r="A11" s="100"/>
      <c r="B11" s="132" t="s">
        <v>84</v>
      </c>
      <c r="C11" s="133"/>
      <c r="D11" s="134" t="s">
        <v>85</v>
      </c>
      <c r="E11" s="135" t="s">
        <v>34</v>
      </c>
      <c r="F11" s="136" t="s">
        <v>90</v>
      </c>
      <c r="G11" s="135" t="s">
        <v>34</v>
      </c>
      <c r="H11" s="136" t="s">
        <v>90</v>
      </c>
      <c r="I11" s="135" t="s">
        <v>34</v>
      </c>
      <c r="J11" s="136" t="s">
        <v>90</v>
      </c>
      <c r="K11" s="137" t="s">
        <v>34</v>
      </c>
      <c r="L11" s="136" t="s">
        <v>90</v>
      </c>
    </row>
    <row r="12" spans="1:12" ht="14" x14ac:dyDescent="0.3">
      <c r="A12" s="100"/>
      <c r="B12" s="115">
        <v>70</v>
      </c>
      <c r="C12" s="110" t="s">
        <v>86</v>
      </c>
      <c r="D12" s="110" t="str">
        <f>B4</f>
        <v>Winterweizen</v>
      </c>
      <c r="E12" s="138">
        <f>E4</f>
        <v>485</v>
      </c>
      <c r="F12" s="139">
        <f>B12*E12</f>
        <v>33950</v>
      </c>
      <c r="G12" s="138">
        <f>G4</f>
        <v>410</v>
      </c>
      <c r="H12" s="139">
        <f>B12*G12</f>
        <v>28700</v>
      </c>
      <c r="I12" s="140">
        <f>I4</f>
        <v>7.5</v>
      </c>
      <c r="J12" s="141">
        <f>B12*I12</f>
        <v>525</v>
      </c>
      <c r="K12" s="142">
        <f>K4</f>
        <v>1</v>
      </c>
      <c r="L12" s="143">
        <f>K12*B12</f>
        <v>70</v>
      </c>
    </row>
    <row r="13" spans="1:12" ht="14" x14ac:dyDescent="0.3">
      <c r="A13" s="100"/>
      <c r="B13" s="122">
        <v>30</v>
      </c>
      <c r="C13" s="117" t="s">
        <v>86</v>
      </c>
      <c r="D13" s="117" t="str">
        <f>B5</f>
        <v>Winterraps</v>
      </c>
      <c r="E13" s="144">
        <f>E5</f>
        <v>430</v>
      </c>
      <c r="F13" s="145">
        <f>B13*E13</f>
        <v>12900</v>
      </c>
      <c r="G13" s="144">
        <f>G5</f>
        <v>390</v>
      </c>
      <c r="H13" s="145">
        <f>B13*G13</f>
        <v>11700</v>
      </c>
      <c r="I13" s="146">
        <f>I5</f>
        <v>7</v>
      </c>
      <c r="J13" s="147">
        <f>B13*I13</f>
        <v>210</v>
      </c>
      <c r="K13" s="148">
        <f>K5</f>
        <v>1</v>
      </c>
      <c r="L13" s="149">
        <f>K13*B13</f>
        <v>30</v>
      </c>
    </row>
    <row r="14" spans="1:12" ht="14" x14ac:dyDescent="0.3">
      <c r="A14" s="100"/>
      <c r="B14" s="129">
        <v>120</v>
      </c>
      <c r="C14" s="124" t="s">
        <v>51</v>
      </c>
      <c r="D14" s="124" t="str">
        <f>B6</f>
        <v>Zuchtsauen</v>
      </c>
      <c r="E14" s="150">
        <f>E6</f>
        <v>550</v>
      </c>
      <c r="F14" s="151">
        <f>B14*E14</f>
        <v>66000</v>
      </c>
      <c r="G14" s="150">
        <f>G6</f>
        <v>420</v>
      </c>
      <c r="H14" s="151">
        <f>B14*G14</f>
        <v>50400</v>
      </c>
      <c r="I14" s="152">
        <f>I6</f>
        <v>16</v>
      </c>
      <c r="J14" s="153">
        <f>B14*I14</f>
        <v>1920</v>
      </c>
      <c r="K14" s="154">
        <f>K6</f>
        <v>0</v>
      </c>
      <c r="L14" s="155">
        <f>K14*B14</f>
        <v>0</v>
      </c>
    </row>
    <row r="15" spans="1:12" ht="14" x14ac:dyDescent="0.3">
      <c r="A15" s="100"/>
      <c r="B15" s="156" t="s">
        <v>92</v>
      </c>
      <c r="C15" s="134"/>
      <c r="D15" s="134"/>
      <c r="E15" s="157" t="s">
        <v>91</v>
      </c>
      <c r="F15" s="158">
        <f>SUM(F12:F14)</f>
        <v>112850</v>
      </c>
      <c r="G15" s="157" t="s">
        <v>91</v>
      </c>
      <c r="H15" s="158">
        <f>SUM(H12:H14)</f>
        <v>90800</v>
      </c>
      <c r="I15" s="157" t="s">
        <v>91</v>
      </c>
      <c r="J15" s="159">
        <f>SUM(J12:J14)</f>
        <v>2655</v>
      </c>
      <c r="K15" s="160" t="s">
        <v>91</v>
      </c>
      <c r="L15" s="159">
        <f>SUM(L12:L14)</f>
        <v>100</v>
      </c>
    </row>
    <row r="16" spans="1:12" ht="14" x14ac:dyDescent="0.3">
      <c r="A16" s="100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</row>
    <row r="17" spans="1:18" ht="14" x14ac:dyDescent="0.3">
      <c r="A17" s="100"/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</row>
    <row r="18" spans="1:18" ht="14" x14ac:dyDescent="0.3">
      <c r="A18" s="100"/>
      <c r="B18" s="101" t="s">
        <v>152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</row>
    <row r="19" spans="1:18" ht="14" x14ac:dyDescent="0.3">
      <c r="A19" s="100"/>
      <c r="B19" s="131" t="s">
        <v>82</v>
      </c>
      <c r="C19" s="104"/>
      <c r="D19" s="104"/>
      <c r="E19" s="106" t="s">
        <v>83</v>
      </c>
      <c r="F19" s="107"/>
      <c r="G19" s="106" t="s">
        <v>36</v>
      </c>
      <c r="H19" s="107"/>
      <c r="I19" s="106" t="s">
        <v>35</v>
      </c>
      <c r="J19" s="107"/>
      <c r="K19" s="108" t="s">
        <v>154</v>
      </c>
      <c r="L19" s="107"/>
    </row>
    <row r="20" spans="1:18" ht="14" x14ac:dyDescent="0.3">
      <c r="A20" s="100"/>
      <c r="B20" s="132" t="s">
        <v>84</v>
      </c>
      <c r="C20" s="133"/>
      <c r="D20" s="134" t="s">
        <v>85</v>
      </c>
      <c r="E20" s="135" t="s">
        <v>34</v>
      </c>
      <c r="F20" s="136" t="s">
        <v>90</v>
      </c>
      <c r="G20" s="135" t="s">
        <v>34</v>
      </c>
      <c r="H20" s="136" t="s">
        <v>90</v>
      </c>
      <c r="I20" s="135" t="s">
        <v>34</v>
      </c>
      <c r="J20" s="136" t="s">
        <v>90</v>
      </c>
      <c r="K20" s="137" t="s">
        <v>34</v>
      </c>
      <c r="L20" s="136" t="s">
        <v>90</v>
      </c>
    </row>
    <row r="21" spans="1:18" ht="14" x14ac:dyDescent="0.3">
      <c r="A21" s="100"/>
      <c r="B21" s="161">
        <f>L15-B22-B23</f>
        <v>60</v>
      </c>
      <c r="C21" s="110" t="s">
        <v>86</v>
      </c>
      <c r="D21" s="110" t="str">
        <f>D12</f>
        <v>Winterweizen</v>
      </c>
      <c r="E21" s="162">
        <f>ROUND(E12*1.1,-1)</f>
        <v>530</v>
      </c>
      <c r="F21" s="163">
        <f>B21*E21</f>
        <v>31800</v>
      </c>
      <c r="G21" s="162">
        <f>ROUND(G12*1.05,-1)</f>
        <v>430</v>
      </c>
      <c r="H21" s="163">
        <f>B21*G21</f>
        <v>25800</v>
      </c>
      <c r="I21" s="164">
        <f>I12+0.1</f>
        <v>7.6</v>
      </c>
      <c r="J21" s="143">
        <f>B21*I21</f>
        <v>456</v>
      </c>
      <c r="K21" s="142">
        <v>1</v>
      </c>
      <c r="L21" s="143">
        <f>K21*B21</f>
        <v>60</v>
      </c>
    </row>
    <row r="22" spans="1:18" ht="14" x14ac:dyDescent="0.3">
      <c r="A22" s="100"/>
      <c r="B22" s="122">
        <v>10</v>
      </c>
      <c r="C22" s="117" t="s">
        <v>86</v>
      </c>
      <c r="D22" s="117" t="str">
        <f>D13</f>
        <v>Winterraps</v>
      </c>
      <c r="E22" s="165">
        <f>ROUND(E13*1.1,-1)</f>
        <v>470</v>
      </c>
      <c r="F22" s="166">
        <f>B22*E22</f>
        <v>4700</v>
      </c>
      <c r="G22" s="165">
        <f>ROUND(G13*1.05,-1)</f>
        <v>410</v>
      </c>
      <c r="H22" s="166">
        <f>B22*G22</f>
        <v>4100</v>
      </c>
      <c r="I22" s="167">
        <f>I13+0.2</f>
        <v>7.2</v>
      </c>
      <c r="J22" s="149">
        <f>B22*I22</f>
        <v>72</v>
      </c>
      <c r="K22" s="148">
        <v>1</v>
      </c>
      <c r="L22" s="149">
        <f>K22*B22</f>
        <v>10</v>
      </c>
    </row>
    <row r="23" spans="1:18" ht="14" x14ac:dyDescent="0.3">
      <c r="A23" s="100"/>
      <c r="B23" s="168">
        <v>30</v>
      </c>
      <c r="C23" s="169" t="s">
        <v>86</v>
      </c>
      <c r="D23" s="169" t="s">
        <v>39</v>
      </c>
      <c r="E23" s="170">
        <v>500</v>
      </c>
      <c r="F23" s="166">
        <f>B23*E23</f>
        <v>15000</v>
      </c>
      <c r="G23" s="144">
        <f>(H15-SUM(H21:H22,H24))/$B$23</f>
        <v>270</v>
      </c>
      <c r="H23" s="166">
        <f>B23*G23</f>
        <v>8100</v>
      </c>
      <c r="I23" s="146">
        <f>(J15-SUM(J21:J22,J24))/$B$23</f>
        <v>2.9</v>
      </c>
      <c r="J23" s="149">
        <f>B23*I23</f>
        <v>87</v>
      </c>
      <c r="K23" s="148">
        <v>1</v>
      </c>
      <c r="L23" s="149">
        <f>K23*B23</f>
        <v>30</v>
      </c>
      <c r="N23" s="171" t="s">
        <v>172</v>
      </c>
    </row>
    <row r="24" spans="1:18" ht="14" x14ac:dyDescent="0.3">
      <c r="A24" s="100"/>
      <c r="B24" s="172">
        <f>B14</f>
        <v>120</v>
      </c>
      <c r="C24" s="124" t="s">
        <v>51</v>
      </c>
      <c r="D24" s="124" t="str">
        <f>D14</f>
        <v>Zuchtsauen</v>
      </c>
      <c r="E24" s="173">
        <f>ROUND(E14*1.1,-1)</f>
        <v>610</v>
      </c>
      <c r="F24" s="174">
        <f>B24*E24</f>
        <v>73200</v>
      </c>
      <c r="G24" s="173">
        <f>ROUND(G14*1.05,-1)</f>
        <v>440</v>
      </c>
      <c r="H24" s="174">
        <f>B24*G24</f>
        <v>52800</v>
      </c>
      <c r="I24" s="175">
        <f>I14+1</f>
        <v>17</v>
      </c>
      <c r="J24" s="155">
        <f>B24*I24</f>
        <v>2040</v>
      </c>
      <c r="K24" s="154">
        <v>0</v>
      </c>
      <c r="L24" s="155">
        <f>K24*B24</f>
        <v>0</v>
      </c>
    </row>
    <row r="25" spans="1:18" ht="14" x14ac:dyDescent="0.3">
      <c r="A25" s="100"/>
      <c r="B25" s="176" t="s">
        <v>92</v>
      </c>
      <c r="C25" s="110"/>
      <c r="D25" s="110"/>
      <c r="E25" s="177" t="s">
        <v>91</v>
      </c>
      <c r="F25" s="163">
        <f>SUM(F21:F24)</f>
        <v>124700</v>
      </c>
      <c r="G25" s="177" t="s">
        <v>91</v>
      </c>
      <c r="H25" s="163">
        <f>H15+H26</f>
        <v>100800</v>
      </c>
      <c r="I25" s="177" t="s">
        <v>91</v>
      </c>
      <c r="J25" s="143">
        <f>J15+J26</f>
        <v>2755</v>
      </c>
      <c r="K25" s="178" t="s">
        <v>91</v>
      </c>
      <c r="L25" s="143">
        <f>SUM(L21:L24)</f>
        <v>100</v>
      </c>
    </row>
    <row r="26" spans="1:18" ht="14" x14ac:dyDescent="0.3">
      <c r="A26" s="100"/>
      <c r="B26" s="179" t="s">
        <v>155</v>
      </c>
      <c r="C26" s="124"/>
      <c r="D26" s="124"/>
      <c r="E26" s="180" t="s">
        <v>91</v>
      </c>
      <c r="F26" s="174">
        <f>F25-F$15</f>
        <v>11850</v>
      </c>
      <c r="G26" s="180" t="s">
        <v>91</v>
      </c>
      <c r="H26" s="181">
        <v>10000</v>
      </c>
      <c r="I26" s="180" t="s">
        <v>91</v>
      </c>
      <c r="J26" s="182">
        <v>100</v>
      </c>
      <c r="K26" s="183" t="s">
        <v>91</v>
      </c>
      <c r="L26" s="155">
        <f>L25-L$15</f>
        <v>0</v>
      </c>
      <c r="N26" s="171" t="s">
        <v>71</v>
      </c>
    </row>
    <row r="27" spans="1:18" ht="14" x14ac:dyDescent="0.3">
      <c r="A27" s="100"/>
      <c r="B27" s="184"/>
      <c r="C27" s="185"/>
      <c r="D27" s="185"/>
      <c r="E27" s="185"/>
      <c r="F27" s="185"/>
      <c r="G27" s="185"/>
      <c r="H27" s="185"/>
      <c r="I27" s="185"/>
      <c r="J27" s="185"/>
      <c r="K27" s="185"/>
      <c r="L27" s="186"/>
    </row>
    <row r="28" spans="1:18" ht="14" x14ac:dyDescent="0.3">
      <c r="A28" s="100"/>
      <c r="B28" s="187" t="s">
        <v>38</v>
      </c>
      <c r="C28" s="188"/>
      <c r="D28" s="189"/>
      <c r="E28" s="190"/>
      <c r="F28" s="190"/>
      <c r="G28" s="190"/>
      <c r="I28" s="191" t="s">
        <v>173</v>
      </c>
      <c r="J28" s="192" t="s">
        <v>33</v>
      </c>
      <c r="K28" s="192"/>
      <c r="L28" s="193" t="s">
        <v>174</v>
      </c>
    </row>
    <row r="29" spans="1:18" ht="14" x14ac:dyDescent="0.3">
      <c r="A29" s="100"/>
      <c r="B29" s="194" t="s">
        <v>93</v>
      </c>
      <c r="C29" s="188"/>
      <c r="D29" s="195"/>
      <c r="E29" s="190"/>
      <c r="F29" s="196"/>
      <c r="G29" s="196"/>
      <c r="H29" s="188"/>
      <c r="I29" s="188"/>
      <c r="J29" s="188"/>
      <c r="K29" s="188"/>
      <c r="L29" s="197">
        <f>F25</f>
        <v>124700</v>
      </c>
    </row>
    <row r="30" spans="1:18" ht="14" x14ac:dyDescent="0.3">
      <c r="A30" s="100"/>
      <c r="B30" s="198" t="s">
        <v>66</v>
      </c>
      <c r="C30" s="199"/>
      <c r="D30" s="199"/>
      <c r="E30" s="190"/>
      <c r="F30" s="196"/>
      <c r="G30" s="196"/>
      <c r="H30" s="200">
        <f>H26</f>
        <v>10000</v>
      </c>
      <c r="I30" s="201" t="s">
        <v>175</v>
      </c>
      <c r="J30" s="202">
        <v>5</v>
      </c>
      <c r="K30" s="203" t="s">
        <v>68</v>
      </c>
      <c r="L30" s="197">
        <f>-H30*J30%</f>
        <v>-500</v>
      </c>
      <c r="R30" s="204"/>
    </row>
    <row r="31" spans="1:18" ht="14" x14ac:dyDescent="0.3">
      <c r="A31" s="100"/>
      <c r="B31" s="205" t="s">
        <v>31</v>
      </c>
      <c r="C31" s="195"/>
      <c r="D31" s="195"/>
      <c r="E31" s="190"/>
      <c r="F31" s="196"/>
      <c r="G31" s="196"/>
      <c r="H31" s="206">
        <f>J26</f>
        <v>100</v>
      </c>
      <c r="I31" s="201" t="s">
        <v>176</v>
      </c>
      <c r="J31" s="202">
        <v>12</v>
      </c>
      <c r="K31" s="203" t="s">
        <v>177</v>
      </c>
      <c r="L31" s="197">
        <f>-H31*J31</f>
        <v>-1200</v>
      </c>
    </row>
    <row r="32" spans="1:18" ht="14" x14ac:dyDescent="0.3">
      <c r="A32" s="100"/>
      <c r="B32" s="205" t="s">
        <v>32</v>
      </c>
      <c r="C32" s="195"/>
      <c r="D32" s="195"/>
      <c r="E32" s="190"/>
      <c r="F32" s="196"/>
      <c r="G32" s="196"/>
      <c r="H32" s="207">
        <f>L26</f>
        <v>0</v>
      </c>
      <c r="I32" s="201" t="s">
        <v>178</v>
      </c>
      <c r="J32" s="202">
        <v>420</v>
      </c>
      <c r="K32" s="203" t="s">
        <v>179</v>
      </c>
      <c r="L32" s="197">
        <f>-H32*J32</f>
        <v>0</v>
      </c>
    </row>
    <row r="33" spans="1:12" ht="14" x14ac:dyDescent="0.3">
      <c r="A33" s="100"/>
      <c r="B33" s="208" t="s">
        <v>30</v>
      </c>
      <c r="C33" s="209"/>
      <c r="D33" s="209"/>
      <c r="E33" s="210"/>
      <c r="F33" s="211"/>
      <c r="G33" s="211"/>
      <c r="H33" s="212"/>
      <c r="I33" s="213"/>
      <c r="J33" s="213"/>
      <c r="K33" s="214"/>
      <c r="L33" s="215">
        <v>0</v>
      </c>
    </row>
    <row r="34" spans="1:12" ht="14" x14ac:dyDescent="0.3">
      <c r="A34" s="100"/>
      <c r="B34" s="216" t="s">
        <v>12</v>
      </c>
      <c r="C34" s="217"/>
      <c r="D34" s="217"/>
      <c r="E34" s="218"/>
      <c r="F34" s="219"/>
      <c r="G34" s="219"/>
      <c r="H34" s="219"/>
      <c r="I34" s="219"/>
      <c r="J34" s="219"/>
      <c r="K34" s="220"/>
      <c r="L34" s="221">
        <f>SUM(L29:L33)</f>
        <v>123000</v>
      </c>
    </row>
    <row r="35" spans="1:12" ht="14" x14ac:dyDescent="0.3">
      <c r="A35" s="100"/>
      <c r="B35" s="222" t="s">
        <v>67</v>
      </c>
      <c r="C35" s="223"/>
      <c r="D35" s="224"/>
      <c r="E35" s="223"/>
      <c r="F35" s="223"/>
      <c r="G35" s="223"/>
      <c r="H35" s="225"/>
      <c r="I35" s="223"/>
      <c r="J35" s="223"/>
      <c r="K35" s="223"/>
      <c r="L35" s="226">
        <f>L34-F15</f>
        <v>10150</v>
      </c>
    </row>
    <row r="36" spans="1:12" ht="14" x14ac:dyDescent="0.3">
      <c r="A36" s="100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</row>
    <row r="37" spans="1:12" ht="14" x14ac:dyDescent="0.3">
      <c r="A37" s="100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</row>
    <row r="38" spans="1:12" ht="14" x14ac:dyDescent="0.3">
      <c r="A38" s="100"/>
      <c r="B38" s="101" t="s">
        <v>153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</row>
    <row r="39" spans="1:12" ht="14" x14ac:dyDescent="0.3">
      <c r="A39" s="100"/>
      <c r="B39" s="131" t="s">
        <v>82</v>
      </c>
      <c r="C39" s="104"/>
      <c r="D39" s="104"/>
      <c r="E39" s="106" t="s">
        <v>83</v>
      </c>
      <c r="F39" s="107"/>
      <c r="G39" s="106" t="s">
        <v>36</v>
      </c>
      <c r="H39" s="107"/>
      <c r="I39" s="106" t="s">
        <v>35</v>
      </c>
      <c r="J39" s="107"/>
      <c r="K39" s="108" t="s">
        <v>154</v>
      </c>
      <c r="L39" s="107"/>
    </row>
    <row r="40" spans="1:12" ht="14" x14ac:dyDescent="0.3">
      <c r="A40" s="100"/>
      <c r="B40" s="132" t="s">
        <v>84</v>
      </c>
      <c r="C40" s="133"/>
      <c r="D40" s="134" t="s">
        <v>85</v>
      </c>
      <c r="E40" s="135" t="s">
        <v>34</v>
      </c>
      <c r="F40" s="136" t="s">
        <v>90</v>
      </c>
      <c r="G40" s="135" t="s">
        <v>34</v>
      </c>
      <c r="H40" s="136" t="s">
        <v>90</v>
      </c>
      <c r="I40" s="135" t="s">
        <v>34</v>
      </c>
      <c r="J40" s="136" t="s">
        <v>90</v>
      </c>
      <c r="K40" s="137" t="s">
        <v>34</v>
      </c>
      <c r="L40" s="136" t="s">
        <v>90</v>
      </c>
    </row>
    <row r="41" spans="1:12" ht="14" x14ac:dyDescent="0.3">
      <c r="A41" s="100"/>
      <c r="B41" s="115">
        <f>B21+10</f>
        <v>70</v>
      </c>
      <c r="C41" s="110" t="s">
        <v>86</v>
      </c>
      <c r="D41" s="110" t="str">
        <f t="shared" ref="D41:E44" si="0">D21</f>
        <v>Winterweizen</v>
      </c>
      <c r="E41" s="138">
        <f t="shared" si="0"/>
        <v>530</v>
      </c>
      <c r="F41" s="139">
        <f>B41*E41</f>
        <v>37100</v>
      </c>
      <c r="G41" s="138">
        <f>G21</f>
        <v>430</v>
      </c>
      <c r="H41" s="139">
        <f>B41*G41</f>
        <v>30100</v>
      </c>
      <c r="I41" s="140">
        <f>I21</f>
        <v>7.6</v>
      </c>
      <c r="J41" s="141">
        <f>B41*I41</f>
        <v>532</v>
      </c>
      <c r="K41" s="142">
        <f>K21</f>
        <v>1</v>
      </c>
      <c r="L41" s="141">
        <f>K41*B41</f>
        <v>70</v>
      </c>
    </row>
    <row r="42" spans="1:12" ht="14" x14ac:dyDescent="0.3">
      <c r="A42" s="100"/>
      <c r="B42" s="122">
        <f>B22+10</f>
        <v>20</v>
      </c>
      <c r="C42" s="117" t="s">
        <v>86</v>
      </c>
      <c r="D42" s="117" t="str">
        <f t="shared" si="0"/>
        <v>Winterraps</v>
      </c>
      <c r="E42" s="144">
        <f t="shared" si="0"/>
        <v>470</v>
      </c>
      <c r="F42" s="145">
        <f>B42*E42</f>
        <v>9400</v>
      </c>
      <c r="G42" s="144">
        <f>G22</f>
        <v>410</v>
      </c>
      <c r="H42" s="145">
        <f>B42*G42</f>
        <v>8200</v>
      </c>
      <c r="I42" s="146">
        <f>I22</f>
        <v>7.2</v>
      </c>
      <c r="J42" s="147">
        <f>B42*I42</f>
        <v>144</v>
      </c>
      <c r="K42" s="148">
        <f>K22</f>
        <v>1</v>
      </c>
      <c r="L42" s="147">
        <f>K42*B42</f>
        <v>20</v>
      </c>
    </row>
    <row r="43" spans="1:12" ht="14" x14ac:dyDescent="0.3">
      <c r="A43" s="100"/>
      <c r="B43" s="122">
        <f>B23+10</f>
        <v>40</v>
      </c>
      <c r="C43" s="117" t="s">
        <v>86</v>
      </c>
      <c r="D43" s="117" t="str">
        <f t="shared" si="0"/>
        <v>Sonnenblumen</v>
      </c>
      <c r="E43" s="144">
        <f t="shared" si="0"/>
        <v>500</v>
      </c>
      <c r="F43" s="145">
        <f>B43*E43</f>
        <v>20000</v>
      </c>
      <c r="G43" s="144">
        <f>G23</f>
        <v>270</v>
      </c>
      <c r="H43" s="145">
        <f>B43*G43</f>
        <v>10800</v>
      </c>
      <c r="I43" s="146">
        <f>I23</f>
        <v>2.9</v>
      </c>
      <c r="J43" s="147">
        <f>B43*I43</f>
        <v>116</v>
      </c>
      <c r="K43" s="148">
        <f>K23</f>
        <v>1</v>
      </c>
      <c r="L43" s="147">
        <f>K43*B43</f>
        <v>40</v>
      </c>
    </row>
    <row r="44" spans="1:12" ht="14" x14ac:dyDescent="0.3">
      <c r="A44" s="100"/>
      <c r="B44" s="227">
        <f>B24</f>
        <v>120</v>
      </c>
      <c r="C44" s="169" t="s">
        <v>51</v>
      </c>
      <c r="D44" s="169" t="str">
        <f t="shared" si="0"/>
        <v>Zuchtsauen</v>
      </c>
      <c r="E44" s="228">
        <f t="shared" si="0"/>
        <v>610</v>
      </c>
      <c r="F44" s="145">
        <f>B44*E44</f>
        <v>73200</v>
      </c>
      <c r="G44" s="228">
        <f>G24</f>
        <v>440</v>
      </c>
      <c r="H44" s="145">
        <f>B44*G44</f>
        <v>52800</v>
      </c>
      <c r="I44" s="229">
        <f>I24</f>
        <v>17</v>
      </c>
      <c r="J44" s="147">
        <f>B44*I44</f>
        <v>2040</v>
      </c>
      <c r="K44" s="230">
        <f>K24</f>
        <v>0</v>
      </c>
      <c r="L44" s="147">
        <f>K44*B44</f>
        <v>0</v>
      </c>
    </row>
    <row r="45" spans="1:12" ht="14" x14ac:dyDescent="0.3">
      <c r="A45" s="100"/>
      <c r="B45" s="129">
        <v>1200</v>
      </c>
      <c r="C45" s="124" t="s">
        <v>88</v>
      </c>
      <c r="D45" s="124" t="s">
        <v>89</v>
      </c>
      <c r="E45" s="173">
        <v>60</v>
      </c>
      <c r="F45" s="174">
        <f>B45*E45</f>
        <v>72000</v>
      </c>
      <c r="G45" s="173">
        <v>85</v>
      </c>
      <c r="H45" s="174">
        <f>B45*G45</f>
        <v>102000</v>
      </c>
      <c r="I45" s="175">
        <v>1.5</v>
      </c>
      <c r="J45" s="155">
        <f>B45*I45</f>
        <v>1800</v>
      </c>
      <c r="K45" s="231">
        <v>0</v>
      </c>
      <c r="L45" s="155">
        <f>K45*B45</f>
        <v>0</v>
      </c>
    </row>
    <row r="46" spans="1:12" ht="14" x14ac:dyDescent="0.3">
      <c r="A46" s="100"/>
      <c r="B46" s="232" t="s">
        <v>92</v>
      </c>
      <c r="C46" s="233"/>
      <c r="D46" s="233"/>
      <c r="E46" s="234" t="s">
        <v>91</v>
      </c>
      <c r="F46" s="235">
        <f>SUM(F41:F45)</f>
        <v>211700</v>
      </c>
      <c r="G46" s="234" t="s">
        <v>91</v>
      </c>
      <c r="H46" s="235">
        <f>SUM(H41:H45)</f>
        <v>203900</v>
      </c>
      <c r="I46" s="234" t="s">
        <v>91</v>
      </c>
      <c r="J46" s="236">
        <f>SUM(J41:J45)</f>
        <v>4632</v>
      </c>
      <c r="K46" s="237" t="s">
        <v>91</v>
      </c>
      <c r="L46" s="236">
        <f>SUM(L41:L45)</f>
        <v>130</v>
      </c>
    </row>
    <row r="47" spans="1:12" ht="14" x14ac:dyDescent="0.3">
      <c r="A47" s="100"/>
      <c r="B47" s="238" t="s">
        <v>155</v>
      </c>
      <c r="C47" s="209"/>
      <c r="D47" s="209"/>
      <c r="E47" s="239" t="s">
        <v>91</v>
      </c>
      <c r="F47" s="240">
        <f>F46-F$15</f>
        <v>98850</v>
      </c>
      <c r="G47" s="239" t="s">
        <v>91</v>
      </c>
      <c r="H47" s="240">
        <f>H46-H$15</f>
        <v>113100</v>
      </c>
      <c r="I47" s="239" t="s">
        <v>91</v>
      </c>
      <c r="J47" s="241">
        <f>J46-J$15</f>
        <v>1977</v>
      </c>
      <c r="K47" s="242" t="s">
        <v>91</v>
      </c>
      <c r="L47" s="241">
        <f>L46-L$15</f>
        <v>30</v>
      </c>
    </row>
    <row r="48" spans="1:12" ht="14" x14ac:dyDescent="0.3">
      <c r="A48" s="100"/>
      <c r="B48" s="179" t="s">
        <v>156</v>
      </c>
      <c r="C48" s="124"/>
      <c r="D48" s="124"/>
      <c r="E48" s="180" t="s">
        <v>91</v>
      </c>
      <c r="F48" s="174">
        <f>F46-F$25</f>
        <v>87000</v>
      </c>
      <c r="G48" s="180" t="s">
        <v>91</v>
      </c>
      <c r="H48" s="174">
        <f>H46-H$25</f>
        <v>103100</v>
      </c>
      <c r="I48" s="180" t="s">
        <v>91</v>
      </c>
      <c r="J48" s="155">
        <f>J46-J$25</f>
        <v>1877</v>
      </c>
      <c r="K48" s="183" t="s">
        <v>91</v>
      </c>
      <c r="L48" s="155">
        <f>L46-L$25</f>
        <v>30</v>
      </c>
    </row>
    <row r="49" spans="1:15" ht="14" x14ac:dyDescent="0.3">
      <c r="A49" s="100"/>
      <c r="B49" s="184"/>
      <c r="C49" s="185"/>
      <c r="D49" s="185"/>
      <c r="E49" s="185"/>
      <c r="F49" s="185"/>
      <c r="G49" s="185"/>
      <c r="H49" s="185"/>
      <c r="I49" s="185"/>
      <c r="J49" s="185"/>
      <c r="K49" s="185"/>
      <c r="L49" s="186"/>
    </row>
    <row r="50" spans="1:15" ht="14" x14ac:dyDescent="0.3">
      <c r="A50" s="100"/>
      <c r="B50" s="187" t="s">
        <v>38</v>
      </c>
      <c r="C50" s="188"/>
      <c r="D50" s="189"/>
      <c r="E50" s="190"/>
      <c r="F50" s="190"/>
      <c r="G50" s="190"/>
      <c r="H50" s="188"/>
      <c r="I50" s="191" t="s">
        <v>173</v>
      </c>
      <c r="J50" s="192" t="s">
        <v>33</v>
      </c>
      <c r="K50" s="192"/>
      <c r="L50" s="193" t="s">
        <v>174</v>
      </c>
    </row>
    <row r="51" spans="1:15" ht="14" x14ac:dyDescent="0.3">
      <c r="A51" s="100"/>
      <c r="B51" s="194" t="s">
        <v>93</v>
      </c>
      <c r="C51" s="188"/>
      <c r="D51" s="195"/>
      <c r="E51" s="190"/>
      <c r="F51" s="196"/>
      <c r="G51" s="196"/>
      <c r="H51" s="188"/>
      <c r="I51" s="188"/>
      <c r="J51" s="188"/>
      <c r="K51" s="188"/>
      <c r="L51" s="197">
        <f>F46</f>
        <v>211700</v>
      </c>
    </row>
    <row r="52" spans="1:15" ht="14" x14ac:dyDescent="0.3">
      <c r="A52" s="100"/>
      <c r="B52" s="198" t="s">
        <v>66</v>
      </c>
      <c r="C52" s="199"/>
      <c r="D52" s="199"/>
      <c r="E52" s="190"/>
      <c r="F52" s="196"/>
      <c r="G52" s="196"/>
      <c r="H52" s="200">
        <f>H47</f>
        <v>113100</v>
      </c>
      <c r="I52" s="201" t="s">
        <v>175</v>
      </c>
      <c r="J52" s="243">
        <f>J30</f>
        <v>5</v>
      </c>
      <c r="K52" s="203" t="s">
        <v>180</v>
      </c>
      <c r="L52" s="197">
        <f>-H52*J52%</f>
        <v>-5655</v>
      </c>
    </row>
    <row r="53" spans="1:15" ht="14" x14ac:dyDescent="0.3">
      <c r="A53" s="100"/>
      <c r="B53" s="205" t="s">
        <v>31</v>
      </c>
      <c r="C53" s="195"/>
      <c r="D53" s="195"/>
      <c r="E53" s="190"/>
      <c r="F53" s="196"/>
      <c r="G53" s="196"/>
      <c r="H53" s="244">
        <f>J47</f>
        <v>1977</v>
      </c>
      <c r="I53" s="201" t="s">
        <v>176</v>
      </c>
      <c r="J53" s="243">
        <f>J31</f>
        <v>12</v>
      </c>
      <c r="K53" s="203" t="s">
        <v>69</v>
      </c>
      <c r="L53" s="197">
        <f>-H53*J53</f>
        <v>-23724</v>
      </c>
    </row>
    <row r="54" spans="1:15" ht="14" x14ac:dyDescent="0.3">
      <c r="A54" s="100"/>
      <c r="B54" s="205" t="s">
        <v>32</v>
      </c>
      <c r="C54" s="195"/>
      <c r="D54" s="195"/>
      <c r="E54" s="190"/>
      <c r="F54" s="196"/>
      <c r="G54" s="196"/>
      <c r="H54" s="207">
        <f>L47</f>
        <v>30</v>
      </c>
      <c r="I54" s="201" t="s">
        <v>178</v>
      </c>
      <c r="J54" s="243">
        <f>J32</f>
        <v>420</v>
      </c>
      <c r="K54" s="203" t="s">
        <v>70</v>
      </c>
      <c r="L54" s="197">
        <f>-H54*J54</f>
        <v>-12600</v>
      </c>
    </row>
    <row r="55" spans="1:15" ht="14" x14ac:dyDescent="0.3">
      <c r="A55" s="100"/>
      <c r="B55" s="205" t="s">
        <v>207</v>
      </c>
      <c r="C55" s="195"/>
      <c r="D55" s="195"/>
      <c r="E55" s="196"/>
      <c r="H55" s="246">
        <f>KalkOHNEGrenzKoOptIst!$B$45*KalkOHNEGrenzKoOptIst!N55</f>
        <v>336000</v>
      </c>
      <c r="I55" s="201" t="s">
        <v>206</v>
      </c>
      <c r="J55" s="245">
        <v>25</v>
      </c>
      <c r="K55" s="190" t="s">
        <v>171</v>
      </c>
      <c r="L55" s="197">
        <f>-H55/J55</f>
        <v>-13440</v>
      </c>
      <c r="N55" s="247">
        <v>280</v>
      </c>
      <c r="O55" s="99" t="s">
        <v>63</v>
      </c>
    </row>
    <row r="56" spans="1:15" ht="14" x14ac:dyDescent="0.3">
      <c r="A56" s="100"/>
      <c r="B56" s="205" t="s">
        <v>208</v>
      </c>
      <c r="C56" s="195"/>
      <c r="D56" s="195"/>
      <c r="E56" s="196"/>
      <c r="H56" s="246">
        <f>KalkOHNEGrenzKoOptIst!$B$45*KalkOHNEGrenzKoOptIst!N56</f>
        <v>168000</v>
      </c>
      <c r="I56" s="201" t="s">
        <v>206</v>
      </c>
      <c r="J56" s="245">
        <v>12.5</v>
      </c>
      <c r="K56" s="190" t="s">
        <v>171</v>
      </c>
      <c r="L56" s="197">
        <f>-H56/J56</f>
        <v>-13440</v>
      </c>
      <c r="N56" s="247">
        <f>N55/2</f>
        <v>140</v>
      </c>
      <c r="O56" s="99" t="s">
        <v>64</v>
      </c>
    </row>
    <row r="57" spans="1:15" ht="14" x14ac:dyDescent="0.3">
      <c r="A57" s="100"/>
      <c r="B57" s="198" t="s">
        <v>209</v>
      </c>
      <c r="C57" s="195"/>
      <c r="D57" s="195"/>
      <c r="E57" s="190"/>
      <c r="F57" s="196"/>
      <c r="G57" s="196"/>
      <c r="H57" s="246">
        <f>(H55+H56)/2</f>
        <v>252000</v>
      </c>
      <c r="I57" s="201" t="s">
        <v>72</v>
      </c>
      <c r="J57" s="243">
        <f>J52</f>
        <v>5</v>
      </c>
      <c r="K57" s="203" t="s">
        <v>180</v>
      </c>
      <c r="L57" s="197">
        <f>-H57*J57%</f>
        <v>-12600</v>
      </c>
    </row>
    <row r="58" spans="1:15" ht="14" x14ac:dyDescent="0.3">
      <c r="A58" s="100"/>
      <c r="B58" s="205" t="s">
        <v>40</v>
      </c>
      <c r="C58" s="195"/>
      <c r="D58" s="195"/>
      <c r="E58" s="190"/>
      <c r="F58" s="196"/>
      <c r="G58" s="196"/>
      <c r="H58" s="200">
        <f>H55</f>
        <v>336000</v>
      </c>
      <c r="I58" s="201" t="s">
        <v>72</v>
      </c>
      <c r="J58" s="202">
        <v>0.5</v>
      </c>
      <c r="K58" s="203" t="s">
        <v>180</v>
      </c>
      <c r="L58" s="197">
        <f>-H58*J58%</f>
        <v>-1680</v>
      </c>
    </row>
    <row r="59" spans="1:15" ht="14" x14ac:dyDescent="0.3">
      <c r="A59" s="100"/>
      <c r="B59" s="205" t="s">
        <v>165</v>
      </c>
      <c r="C59" s="195"/>
      <c r="D59" s="195"/>
      <c r="E59" s="190"/>
      <c r="F59" s="196"/>
      <c r="G59" s="196"/>
      <c r="H59" s="200"/>
      <c r="I59" s="201"/>
      <c r="J59" s="202"/>
      <c r="K59" s="203"/>
      <c r="L59" s="248">
        <v>-1861</v>
      </c>
    </row>
    <row r="60" spans="1:15" ht="14" x14ac:dyDescent="0.3">
      <c r="A60" s="100"/>
      <c r="B60" s="208" t="s">
        <v>166</v>
      </c>
      <c r="C60" s="209"/>
      <c r="D60" s="209"/>
      <c r="E60" s="210"/>
      <c r="F60" s="211"/>
      <c r="G60" s="211"/>
      <c r="H60" s="207">
        <f>H54</f>
        <v>30</v>
      </c>
      <c r="I60" s="201" t="s">
        <v>178</v>
      </c>
      <c r="J60" s="202">
        <v>300</v>
      </c>
      <c r="K60" s="203" t="s">
        <v>70</v>
      </c>
      <c r="L60" s="249">
        <f>H60*J60</f>
        <v>9000</v>
      </c>
    </row>
    <row r="61" spans="1:15" ht="14" x14ac:dyDescent="0.3">
      <c r="A61" s="100"/>
      <c r="B61" s="216" t="s">
        <v>13</v>
      </c>
      <c r="C61" s="217"/>
      <c r="D61" s="217"/>
      <c r="E61" s="218"/>
      <c r="F61" s="219"/>
      <c r="G61" s="219"/>
      <c r="H61" s="218"/>
      <c r="I61" s="218"/>
      <c r="J61" s="219"/>
      <c r="K61" s="220"/>
      <c r="L61" s="221">
        <f>SUM(L51:L60)</f>
        <v>135700</v>
      </c>
    </row>
    <row r="62" spans="1:15" ht="14" x14ac:dyDescent="0.3">
      <c r="A62" s="100"/>
      <c r="B62" s="250" t="s">
        <v>181</v>
      </c>
      <c r="C62" s="251"/>
      <c r="D62" s="252"/>
      <c r="E62" s="251"/>
      <c r="F62" s="251"/>
      <c r="G62" s="251"/>
      <c r="H62" s="253"/>
      <c r="I62" s="251"/>
      <c r="J62" s="251"/>
      <c r="K62" s="251"/>
      <c r="L62" s="254">
        <f>L61-$F$15</f>
        <v>22850</v>
      </c>
    </row>
    <row r="63" spans="1:15" ht="14" x14ac:dyDescent="0.3">
      <c r="A63" s="100"/>
      <c r="B63" s="255" t="s">
        <v>170</v>
      </c>
      <c r="C63" s="256"/>
      <c r="D63" s="257"/>
      <c r="E63" s="256"/>
      <c r="F63" s="256"/>
      <c r="G63" s="256"/>
      <c r="H63" s="258"/>
      <c r="I63" s="256"/>
      <c r="J63" s="256"/>
      <c r="K63" s="256"/>
      <c r="L63" s="259">
        <f>L61-L34</f>
        <v>12700</v>
      </c>
    </row>
    <row r="64" spans="1:15" ht="14" x14ac:dyDescent="0.3">
      <c r="A64" s="100"/>
    </row>
    <row r="65" spans="1:15" ht="14" x14ac:dyDescent="0.3">
      <c r="A65" s="100"/>
    </row>
    <row r="66" spans="1:15" ht="14" x14ac:dyDescent="0.3">
      <c r="A66" s="100"/>
      <c r="B66" s="260" t="s">
        <v>62</v>
      </c>
      <c r="C66" s="3"/>
      <c r="D66" s="261"/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261"/>
    </row>
    <row r="67" spans="1:15" x14ac:dyDescent="0.25">
      <c r="B67" s="102"/>
      <c r="C67" s="102"/>
      <c r="D67" s="26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</row>
    <row r="68" spans="1:15" x14ac:dyDescent="0.25">
      <c r="B68" s="263" t="s">
        <v>95</v>
      </c>
      <c r="C68" s="264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</row>
    <row r="69" spans="1:15" x14ac:dyDescent="0.25">
      <c r="B69" s="261"/>
      <c r="C69" s="264"/>
      <c r="D69" s="261"/>
      <c r="E69" s="261"/>
      <c r="F69" s="261"/>
      <c r="G69" s="261"/>
      <c r="H69" s="261"/>
      <c r="I69" s="261"/>
      <c r="J69" s="261"/>
      <c r="K69" s="261"/>
      <c r="L69" s="261"/>
      <c r="M69" s="261"/>
      <c r="N69" s="261"/>
      <c r="O69" s="261"/>
    </row>
    <row r="70" spans="1:15" x14ac:dyDescent="0.25">
      <c r="C70" s="102" t="s">
        <v>56</v>
      </c>
      <c r="D70" s="102"/>
      <c r="E70" s="102"/>
      <c r="F70" s="102"/>
      <c r="G70" s="102"/>
      <c r="H70" s="102"/>
      <c r="I70" s="102"/>
      <c r="J70" s="102"/>
      <c r="K70" s="200">
        <f>KalkMITGrenzKoOptIst!$L$62</f>
        <v>22850</v>
      </c>
      <c r="L70" s="102" t="s">
        <v>41</v>
      </c>
      <c r="M70" s="261"/>
    </row>
    <row r="71" spans="1:15" x14ac:dyDescent="0.25">
      <c r="B71" s="359" t="s">
        <v>77</v>
      </c>
      <c r="C71" s="102" t="s">
        <v>20</v>
      </c>
      <c r="D71" s="102"/>
      <c r="E71" s="102"/>
      <c r="F71" s="102"/>
      <c r="G71" s="102"/>
      <c r="H71" s="102"/>
      <c r="I71" s="102"/>
      <c r="J71" s="102"/>
      <c r="K71" s="200">
        <f>-KalkMITGrenzKoOptIst!L52-KalkMITGrenzKoOptIst!L57</f>
        <v>18255</v>
      </c>
      <c r="L71" s="102" t="s">
        <v>41</v>
      </c>
      <c r="M71" s="261"/>
    </row>
    <row r="72" spans="1:15" x14ac:dyDescent="0.25">
      <c r="B72" s="360" t="s">
        <v>78</v>
      </c>
      <c r="C72" s="211" t="s">
        <v>19</v>
      </c>
      <c r="D72" s="211"/>
      <c r="E72" s="211"/>
      <c r="F72" s="211"/>
      <c r="G72" s="211"/>
      <c r="H72" s="211"/>
      <c r="I72" s="211"/>
      <c r="J72" s="211"/>
      <c r="K72" s="266">
        <f>K70+K71</f>
        <v>41105</v>
      </c>
      <c r="L72" s="211" t="s">
        <v>41</v>
      </c>
      <c r="M72" s="261"/>
    </row>
    <row r="73" spans="1:15" x14ac:dyDescent="0.25">
      <c r="B73" s="359" t="s">
        <v>53</v>
      </c>
      <c r="C73" s="102" t="s">
        <v>21</v>
      </c>
      <c r="D73" s="102"/>
      <c r="E73" s="102"/>
      <c r="F73" s="102"/>
      <c r="G73" s="102"/>
      <c r="H73" s="102"/>
      <c r="I73" s="102"/>
      <c r="J73" s="102"/>
      <c r="K73" s="267">
        <f>KalkMITGrenzKoOptIst!H52+KalkMITGrenzKoOptIst!H57</f>
        <v>365100</v>
      </c>
      <c r="L73" s="102" t="s">
        <v>41</v>
      </c>
      <c r="M73" s="261"/>
    </row>
    <row r="74" spans="1:15" x14ac:dyDescent="0.25">
      <c r="B74" s="360" t="s">
        <v>78</v>
      </c>
      <c r="C74" s="211" t="s">
        <v>16</v>
      </c>
      <c r="D74" s="211"/>
      <c r="E74" s="211"/>
      <c r="F74" s="211"/>
      <c r="G74" s="211"/>
      <c r="H74" s="211"/>
      <c r="I74" s="211"/>
      <c r="J74" s="211"/>
      <c r="K74" s="268">
        <f>K72/K73*100</f>
        <v>11.25855929882224</v>
      </c>
      <c r="L74" s="211" t="s">
        <v>28</v>
      </c>
      <c r="M74" s="261"/>
    </row>
    <row r="75" spans="1:15" ht="13" x14ac:dyDescent="0.3">
      <c r="B75" s="361" t="s">
        <v>78</v>
      </c>
      <c r="C75" s="269" t="s">
        <v>94</v>
      </c>
      <c r="D75" s="102"/>
      <c r="E75" s="102"/>
      <c r="F75" s="102"/>
      <c r="G75" s="102"/>
      <c r="H75" s="102"/>
      <c r="I75" s="102"/>
      <c r="J75" s="102"/>
      <c r="K75" s="270"/>
      <c r="L75" s="261"/>
      <c r="M75" s="261"/>
    </row>
    <row r="76" spans="1:15" x14ac:dyDescent="0.25">
      <c r="C76" s="102"/>
      <c r="D76" s="102"/>
      <c r="E76" s="102"/>
      <c r="F76" s="102"/>
      <c r="G76" s="102"/>
      <c r="H76" s="102"/>
      <c r="I76" s="102"/>
      <c r="J76" s="102"/>
      <c r="K76" s="271"/>
      <c r="L76" s="102"/>
      <c r="M76" s="261"/>
    </row>
    <row r="77" spans="1:15" x14ac:dyDescent="0.25">
      <c r="C77" s="102"/>
      <c r="D77" s="102"/>
      <c r="E77" s="102"/>
      <c r="F77" s="102"/>
      <c r="G77" s="102"/>
      <c r="H77" s="102"/>
      <c r="I77" s="102"/>
      <c r="J77" s="102"/>
      <c r="K77" s="271"/>
      <c r="L77" s="102"/>
      <c r="M77" s="261"/>
    </row>
    <row r="78" spans="1:15" x14ac:dyDescent="0.25">
      <c r="B78" s="263" t="s">
        <v>96</v>
      </c>
      <c r="C78" s="102"/>
      <c r="D78" s="102"/>
      <c r="E78" s="102"/>
      <c r="F78" s="102"/>
      <c r="G78" s="102"/>
      <c r="H78" s="102"/>
      <c r="I78" s="102"/>
      <c r="J78" s="102"/>
      <c r="K78" s="271"/>
      <c r="L78" s="102"/>
      <c r="M78" s="261"/>
    </row>
    <row r="79" spans="1:15" x14ac:dyDescent="0.25">
      <c r="C79" s="102"/>
      <c r="D79" s="102"/>
      <c r="E79" s="102"/>
      <c r="F79" s="102"/>
      <c r="G79" s="102"/>
      <c r="H79" s="102"/>
      <c r="I79" s="102"/>
      <c r="J79" s="102"/>
      <c r="K79" s="271"/>
      <c r="L79" s="102"/>
      <c r="M79" s="261"/>
    </row>
    <row r="80" spans="1:15" x14ac:dyDescent="0.25">
      <c r="B80" s="359"/>
      <c r="C80" s="102" t="s">
        <v>182</v>
      </c>
      <c r="D80" s="102"/>
      <c r="E80" s="102"/>
      <c r="F80" s="102"/>
      <c r="G80" s="102"/>
      <c r="H80" s="102"/>
      <c r="I80" s="102"/>
      <c r="J80" s="102"/>
      <c r="K80" s="200">
        <f>KalkMITGrenzKoOptIst!$L$63</f>
        <v>12700</v>
      </c>
      <c r="L80" s="102" t="s">
        <v>41</v>
      </c>
      <c r="M80" s="261"/>
    </row>
    <row r="81" spans="2:16" x14ac:dyDescent="0.25">
      <c r="B81" s="359" t="s">
        <v>77</v>
      </c>
      <c r="C81" s="102" t="s">
        <v>22</v>
      </c>
      <c r="D81" s="102"/>
      <c r="E81" s="102"/>
      <c r="F81" s="102"/>
      <c r="G81" s="102"/>
      <c r="H81" s="102"/>
      <c r="I81" s="102"/>
      <c r="J81" s="102"/>
      <c r="K81" s="200">
        <f>-(KalkMITGrenzKoOptIst!L52-KalkMITGrenzKoOptIst!L30)-(KalkMITGrenzKoOptIst!L57)</f>
        <v>17755</v>
      </c>
      <c r="L81" s="102" t="s">
        <v>41</v>
      </c>
      <c r="M81" s="261"/>
    </row>
    <row r="82" spans="2:16" x14ac:dyDescent="0.25">
      <c r="B82" s="360" t="s">
        <v>78</v>
      </c>
      <c r="C82" s="211" t="s">
        <v>18</v>
      </c>
      <c r="D82" s="211"/>
      <c r="E82" s="211"/>
      <c r="F82" s="211"/>
      <c r="G82" s="211"/>
      <c r="H82" s="211"/>
      <c r="I82" s="211"/>
      <c r="J82" s="211"/>
      <c r="K82" s="266">
        <f>K80+K81</f>
        <v>30455</v>
      </c>
      <c r="L82" s="211" t="s">
        <v>41</v>
      </c>
      <c r="M82" s="261"/>
    </row>
    <row r="83" spans="2:16" x14ac:dyDescent="0.25">
      <c r="B83" s="359" t="s">
        <v>53</v>
      </c>
      <c r="C83" s="102" t="s">
        <v>23</v>
      </c>
      <c r="D83" s="102"/>
      <c r="E83" s="102"/>
      <c r="F83" s="102"/>
      <c r="G83" s="102"/>
      <c r="H83" s="102"/>
      <c r="I83" s="102"/>
      <c r="J83" s="102"/>
      <c r="K83" s="267">
        <f>KalkMITGrenzKoOptIst!H48+KalkMITGrenzKoOptIst!H57</f>
        <v>355100</v>
      </c>
      <c r="L83" s="102" t="s">
        <v>41</v>
      </c>
      <c r="M83" s="261"/>
    </row>
    <row r="84" spans="2:16" x14ac:dyDescent="0.25">
      <c r="B84" s="360" t="s">
        <v>78</v>
      </c>
      <c r="C84" s="211" t="s">
        <v>17</v>
      </c>
      <c r="D84" s="211"/>
      <c r="E84" s="211"/>
      <c r="F84" s="211"/>
      <c r="G84" s="211"/>
      <c r="H84" s="211"/>
      <c r="I84" s="211"/>
      <c r="J84" s="211"/>
      <c r="K84" s="268">
        <f>K82/K83*100</f>
        <v>8.5764573359617007</v>
      </c>
      <c r="L84" s="211" t="s">
        <v>28</v>
      </c>
      <c r="M84" s="261"/>
    </row>
    <row r="85" spans="2:16" ht="13" x14ac:dyDescent="0.3">
      <c r="B85" s="361" t="s">
        <v>78</v>
      </c>
      <c r="C85" s="269" t="s">
        <v>97</v>
      </c>
      <c r="D85" s="196"/>
      <c r="E85" s="196"/>
      <c r="F85" s="196"/>
      <c r="G85" s="196"/>
      <c r="H85" s="196"/>
      <c r="I85" s="196"/>
      <c r="J85" s="196"/>
      <c r="K85" s="270"/>
      <c r="L85" s="261"/>
      <c r="M85" s="261"/>
    </row>
    <row r="86" spans="2:16" ht="13" x14ac:dyDescent="0.3">
      <c r="B86" s="361" t="s">
        <v>78</v>
      </c>
      <c r="C86" s="269" t="s">
        <v>98</v>
      </c>
      <c r="D86" s="102"/>
      <c r="E86" s="102"/>
      <c r="F86" s="102"/>
      <c r="G86" s="102"/>
      <c r="H86" s="102"/>
      <c r="I86" s="102"/>
      <c r="J86" s="102"/>
      <c r="K86" s="271"/>
      <c r="L86" s="102"/>
      <c r="M86" s="261"/>
    </row>
    <row r="87" spans="2:16" x14ac:dyDescent="0.25">
      <c r="B87" s="261"/>
      <c r="C87" s="99" t="s">
        <v>24</v>
      </c>
      <c r="D87" s="261"/>
      <c r="E87" s="261"/>
      <c r="F87" s="261"/>
      <c r="G87" s="261"/>
      <c r="H87" s="261"/>
      <c r="I87" s="261"/>
      <c r="J87" s="261"/>
      <c r="K87" s="270"/>
      <c r="L87" s="261"/>
      <c r="M87" s="261"/>
    </row>
    <row r="88" spans="2:16" x14ac:dyDescent="0.25">
      <c r="M88" s="261"/>
    </row>
    <row r="89" spans="2:16" x14ac:dyDescent="0.25">
      <c r="M89" s="261"/>
    </row>
    <row r="90" spans="2:16" ht="14" x14ac:dyDescent="0.25">
      <c r="B90" s="260" t="s">
        <v>131</v>
      </c>
      <c r="C90" s="3"/>
      <c r="D90" s="261"/>
      <c r="E90" s="261"/>
      <c r="F90" s="261"/>
      <c r="G90" s="261"/>
      <c r="H90" s="261"/>
      <c r="I90" s="261"/>
      <c r="J90" s="261"/>
      <c r="K90" s="270"/>
      <c r="L90" s="261"/>
      <c r="M90" s="261"/>
      <c r="P90" s="261"/>
    </row>
    <row r="91" spans="2:16" x14ac:dyDescent="0.25">
      <c r="B91" s="261"/>
      <c r="C91" s="261"/>
      <c r="D91" s="261"/>
      <c r="E91" s="261"/>
      <c r="F91" s="261"/>
      <c r="G91" s="261"/>
      <c r="H91" s="261"/>
      <c r="I91" s="261"/>
      <c r="J91" s="261"/>
      <c r="K91" s="270"/>
      <c r="L91" s="261"/>
      <c r="M91" s="261"/>
      <c r="P91" s="261"/>
    </row>
    <row r="92" spans="2:16" x14ac:dyDescent="0.25">
      <c r="B92" s="263" t="s">
        <v>161</v>
      </c>
      <c r="C92" s="264"/>
      <c r="D92" s="261"/>
      <c r="E92" s="261"/>
      <c r="F92" s="261"/>
      <c r="G92" s="261"/>
      <c r="H92" s="261"/>
      <c r="I92" s="261"/>
      <c r="J92" s="261"/>
      <c r="K92" s="270"/>
      <c r="L92" s="261"/>
      <c r="M92" s="261"/>
      <c r="P92" s="261"/>
    </row>
    <row r="93" spans="2:16" x14ac:dyDescent="0.25">
      <c r="B93" s="261"/>
      <c r="C93" s="264"/>
      <c r="D93" s="261"/>
      <c r="E93" s="261"/>
      <c r="F93" s="261"/>
      <c r="G93" s="261"/>
      <c r="H93" s="261"/>
      <c r="I93" s="261"/>
      <c r="J93" s="261"/>
      <c r="K93" s="270"/>
      <c r="L93" s="261"/>
      <c r="M93" s="261"/>
      <c r="P93" s="261"/>
    </row>
    <row r="94" spans="2:16" x14ac:dyDescent="0.25">
      <c r="C94" s="102" t="s">
        <v>56</v>
      </c>
      <c r="D94" s="102"/>
      <c r="E94" s="102"/>
      <c r="F94" s="102"/>
      <c r="G94" s="102"/>
      <c r="H94" s="102"/>
      <c r="I94" s="102"/>
      <c r="J94" s="102"/>
      <c r="K94" s="200">
        <f>KalkMITGrenzKoOptIst!$L$62</f>
        <v>22850</v>
      </c>
      <c r="L94" s="102" t="s">
        <v>41</v>
      </c>
      <c r="M94" s="261"/>
      <c r="P94" s="102"/>
    </row>
    <row r="95" spans="2:16" x14ac:dyDescent="0.25">
      <c r="B95" s="99" t="s">
        <v>77</v>
      </c>
      <c r="C95" s="102" t="s">
        <v>100</v>
      </c>
      <c r="D95" s="102"/>
      <c r="E95" s="102"/>
      <c r="F95" s="102"/>
      <c r="G95" s="102"/>
      <c r="H95" s="102"/>
      <c r="I95" s="102"/>
      <c r="J95" s="102"/>
      <c r="K95" s="200">
        <f>-KalkMITGrenzKoOptIst!L53</f>
        <v>23724</v>
      </c>
      <c r="L95" s="102" t="s">
        <v>41</v>
      </c>
      <c r="M95" s="261"/>
      <c r="P95" s="102"/>
    </row>
    <row r="96" spans="2:16" x14ac:dyDescent="0.25">
      <c r="B96" s="265" t="s">
        <v>78</v>
      </c>
      <c r="C96" s="211" t="s">
        <v>160</v>
      </c>
      <c r="D96" s="211"/>
      <c r="E96" s="211"/>
      <c r="F96" s="211"/>
      <c r="G96" s="211"/>
      <c r="H96" s="211"/>
      <c r="I96" s="211"/>
      <c r="J96" s="211"/>
      <c r="K96" s="266">
        <f>K94+K95</f>
        <v>46574</v>
      </c>
      <c r="L96" s="211" t="s">
        <v>41</v>
      </c>
      <c r="M96" s="261"/>
      <c r="P96" s="102"/>
    </row>
    <row r="97" spans="2:16" x14ac:dyDescent="0.25">
      <c r="B97" s="99" t="s">
        <v>53</v>
      </c>
      <c r="C97" s="102" t="s">
        <v>159</v>
      </c>
      <c r="D97" s="102"/>
      <c r="E97" s="102"/>
      <c r="F97" s="102"/>
      <c r="G97" s="102"/>
      <c r="H97" s="102"/>
      <c r="I97" s="102"/>
      <c r="J97" s="102"/>
      <c r="K97" s="200">
        <f>KalkMITGrenzKoOptIst!$H$53</f>
        <v>1977</v>
      </c>
      <c r="L97" s="102" t="s">
        <v>26</v>
      </c>
      <c r="M97" s="261"/>
      <c r="P97" s="102"/>
    </row>
    <row r="98" spans="2:16" x14ac:dyDescent="0.25">
      <c r="B98" s="265" t="s">
        <v>78</v>
      </c>
      <c r="C98" s="211" t="s">
        <v>158</v>
      </c>
      <c r="D98" s="211"/>
      <c r="E98" s="211"/>
      <c r="F98" s="211"/>
      <c r="G98" s="211"/>
      <c r="H98" s="211"/>
      <c r="I98" s="211"/>
      <c r="J98" s="211"/>
      <c r="K98" s="272">
        <f>K96/K97</f>
        <v>23.55791603439555</v>
      </c>
      <c r="L98" s="211" t="s">
        <v>27</v>
      </c>
      <c r="M98" s="261"/>
      <c r="P98" s="102"/>
    </row>
    <row r="99" spans="2:16" ht="13" x14ac:dyDescent="0.3">
      <c r="B99" s="269" t="s">
        <v>78</v>
      </c>
      <c r="C99" s="269" t="s">
        <v>162</v>
      </c>
      <c r="D99" s="102"/>
      <c r="E99" s="102"/>
      <c r="F99" s="102"/>
      <c r="G99" s="102"/>
      <c r="H99" s="102"/>
      <c r="I99" s="102"/>
      <c r="J99" s="102"/>
      <c r="K99" s="270"/>
      <c r="L99" s="261"/>
      <c r="M99" s="261"/>
      <c r="P99" s="102"/>
    </row>
    <row r="100" spans="2:16" x14ac:dyDescent="0.25">
      <c r="C100" s="102"/>
      <c r="D100" s="102"/>
      <c r="E100" s="102"/>
      <c r="F100" s="102"/>
      <c r="G100" s="102"/>
      <c r="H100" s="102"/>
      <c r="I100" s="102"/>
      <c r="J100" s="102"/>
      <c r="K100" s="271"/>
      <c r="L100" s="102"/>
      <c r="M100" s="261"/>
      <c r="P100" s="102"/>
    </row>
    <row r="101" spans="2:16" x14ac:dyDescent="0.25">
      <c r="C101" s="102"/>
      <c r="D101" s="102"/>
      <c r="E101" s="102"/>
      <c r="F101" s="102"/>
      <c r="G101" s="102"/>
      <c r="H101" s="102"/>
      <c r="I101" s="102"/>
      <c r="J101" s="102"/>
      <c r="K101" s="271"/>
      <c r="L101" s="102"/>
      <c r="M101" s="261"/>
      <c r="P101" s="102"/>
    </row>
    <row r="102" spans="2:16" x14ac:dyDescent="0.25">
      <c r="B102" s="263" t="s">
        <v>7</v>
      </c>
      <c r="C102" s="102"/>
      <c r="D102" s="102"/>
      <c r="E102" s="102"/>
      <c r="F102" s="102"/>
      <c r="G102" s="102"/>
      <c r="H102" s="102"/>
      <c r="I102" s="102"/>
      <c r="J102" s="102"/>
      <c r="K102" s="271"/>
      <c r="L102" s="102"/>
      <c r="M102" s="261"/>
      <c r="P102" s="102"/>
    </row>
    <row r="103" spans="2:16" x14ac:dyDescent="0.25">
      <c r="C103" s="102"/>
      <c r="D103" s="102"/>
      <c r="E103" s="102"/>
      <c r="F103" s="102"/>
      <c r="G103" s="102"/>
      <c r="H103" s="102"/>
      <c r="I103" s="102"/>
      <c r="J103" s="102"/>
      <c r="K103" s="271"/>
      <c r="L103" s="102"/>
      <c r="M103" s="261"/>
      <c r="P103" s="102"/>
    </row>
    <row r="104" spans="2:16" x14ac:dyDescent="0.25">
      <c r="C104" s="102" t="s">
        <v>182</v>
      </c>
      <c r="D104" s="102"/>
      <c r="E104" s="102"/>
      <c r="F104" s="102"/>
      <c r="G104" s="102"/>
      <c r="H104" s="102"/>
      <c r="I104" s="102"/>
      <c r="J104" s="102"/>
      <c r="K104" s="200">
        <f>KalkMITGrenzKoOptIst!$L$63</f>
        <v>12700</v>
      </c>
      <c r="L104" s="102" t="s">
        <v>41</v>
      </c>
      <c r="M104" s="261"/>
      <c r="P104" s="102"/>
    </row>
    <row r="105" spans="2:16" x14ac:dyDescent="0.25">
      <c r="B105" s="99" t="s">
        <v>77</v>
      </c>
      <c r="C105" s="102" t="s">
        <v>149</v>
      </c>
      <c r="D105" s="102"/>
      <c r="E105" s="102"/>
      <c r="F105" s="102"/>
      <c r="G105" s="102"/>
      <c r="H105" s="102"/>
      <c r="I105" s="102"/>
      <c r="J105" s="102"/>
      <c r="K105" s="200">
        <f>-(KalkMITGrenzKoOptIst!$L$53-KalkMITGrenzKoOptIst!$L$31)</f>
        <v>22524</v>
      </c>
      <c r="L105" s="102" t="s">
        <v>41</v>
      </c>
      <c r="M105" s="261"/>
      <c r="P105" s="102"/>
    </row>
    <row r="106" spans="2:16" x14ac:dyDescent="0.25">
      <c r="B106" s="265" t="s">
        <v>78</v>
      </c>
      <c r="C106" s="211" t="s">
        <v>42</v>
      </c>
      <c r="D106" s="211"/>
      <c r="E106" s="211"/>
      <c r="F106" s="211"/>
      <c r="G106" s="211"/>
      <c r="H106" s="211"/>
      <c r="I106" s="211"/>
      <c r="J106" s="211"/>
      <c r="K106" s="266">
        <f>K104+K105</f>
        <v>35224</v>
      </c>
      <c r="L106" s="211" t="s">
        <v>41</v>
      </c>
      <c r="M106" s="261"/>
      <c r="P106" s="102"/>
    </row>
    <row r="107" spans="2:16" x14ac:dyDescent="0.25">
      <c r="B107" s="99" t="s">
        <v>53</v>
      </c>
      <c r="C107" s="102" t="s">
        <v>43</v>
      </c>
      <c r="D107" s="102"/>
      <c r="E107" s="102"/>
      <c r="F107" s="102"/>
      <c r="G107" s="102"/>
      <c r="H107" s="102"/>
      <c r="I107" s="102"/>
      <c r="J107" s="102"/>
      <c r="K107" s="200">
        <f>KalkMITGrenzKoOptIst!$J$48</f>
        <v>1877</v>
      </c>
      <c r="L107" s="102" t="s">
        <v>26</v>
      </c>
      <c r="M107" s="261"/>
      <c r="P107" s="102"/>
    </row>
    <row r="108" spans="2:16" x14ac:dyDescent="0.25">
      <c r="B108" s="265" t="s">
        <v>78</v>
      </c>
      <c r="C108" s="211" t="s">
        <v>157</v>
      </c>
      <c r="D108" s="211"/>
      <c r="E108" s="211"/>
      <c r="F108" s="211"/>
      <c r="G108" s="211"/>
      <c r="H108" s="211"/>
      <c r="I108" s="211"/>
      <c r="J108" s="211"/>
      <c r="K108" s="272">
        <f>K106/K107</f>
        <v>18.766116142781033</v>
      </c>
      <c r="L108" s="211" t="s">
        <v>27</v>
      </c>
      <c r="M108" s="261"/>
      <c r="P108" s="102"/>
    </row>
    <row r="109" spans="2:16" ht="13" x14ac:dyDescent="0.3">
      <c r="B109" s="269" t="s">
        <v>78</v>
      </c>
      <c r="C109" s="269" t="s">
        <v>163</v>
      </c>
      <c r="D109" s="102"/>
      <c r="E109" s="102"/>
      <c r="F109" s="102"/>
      <c r="G109" s="102"/>
      <c r="H109" s="102"/>
      <c r="I109" s="102"/>
      <c r="J109" s="102"/>
      <c r="K109" s="270"/>
      <c r="L109" s="261"/>
      <c r="M109" s="261"/>
      <c r="P109" s="102"/>
    </row>
    <row r="110" spans="2:16" ht="13" x14ac:dyDescent="0.3">
      <c r="B110" s="269" t="s">
        <v>78</v>
      </c>
      <c r="C110" s="269" t="s">
        <v>5</v>
      </c>
      <c r="D110" s="102"/>
      <c r="E110" s="102"/>
      <c r="F110" s="102"/>
      <c r="G110" s="102"/>
      <c r="H110" s="102"/>
      <c r="I110" s="102"/>
      <c r="J110" s="102"/>
      <c r="K110" s="271"/>
      <c r="L110" s="102"/>
      <c r="M110" s="261"/>
      <c r="P110" s="102"/>
    </row>
    <row r="111" spans="2:16" x14ac:dyDescent="0.25">
      <c r="B111" s="102"/>
      <c r="C111" s="99" t="s">
        <v>24</v>
      </c>
      <c r="D111" s="102"/>
      <c r="E111" s="102"/>
      <c r="F111" s="102"/>
      <c r="G111" s="102"/>
      <c r="H111" s="102"/>
      <c r="I111" s="102"/>
      <c r="J111" s="102"/>
      <c r="K111" s="271"/>
      <c r="L111" s="102"/>
      <c r="M111" s="261"/>
      <c r="P111" s="102"/>
    </row>
    <row r="112" spans="2:16" x14ac:dyDescent="0.25">
      <c r="M112" s="261"/>
    </row>
    <row r="113" spans="2:13" x14ac:dyDescent="0.25">
      <c r="M113" s="261"/>
    </row>
    <row r="114" spans="2:13" ht="14" x14ac:dyDescent="0.25">
      <c r="B114" s="260" t="s">
        <v>132</v>
      </c>
      <c r="C114" s="83"/>
      <c r="D114" s="261"/>
      <c r="E114" s="102"/>
      <c r="F114" s="102"/>
      <c r="G114" s="102"/>
      <c r="H114" s="102"/>
      <c r="I114" s="102"/>
      <c r="J114" s="102"/>
      <c r="K114" s="271"/>
      <c r="L114" s="102"/>
      <c r="M114" s="261"/>
    </row>
    <row r="115" spans="2:13" x14ac:dyDescent="0.25">
      <c r="B115" s="261"/>
      <c r="C115" s="261"/>
      <c r="D115" s="261"/>
      <c r="E115" s="261"/>
      <c r="F115" s="261"/>
      <c r="G115" s="261"/>
      <c r="H115" s="261"/>
      <c r="I115" s="261"/>
      <c r="J115" s="261"/>
      <c r="K115" s="270"/>
      <c r="L115" s="261"/>
      <c r="M115" s="261"/>
    </row>
    <row r="116" spans="2:13" x14ac:dyDescent="0.25">
      <c r="B116" s="263" t="s">
        <v>6</v>
      </c>
      <c r="D116" s="102"/>
      <c r="E116" s="102"/>
      <c r="F116" s="102"/>
      <c r="G116" s="102"/>
      <c r="H116" s="102"/>
      <c r="I116" s="102"/>
      <c r="J116" s="102"/>
      <c r="K116" s="271"/>
      <c r="L116" s="102"/>
      <c r="M116" s="261"/>
    </row>
    <row r="117" spans="2:13" x14ac:dyDescent="0.25">
      <c r="B117" s="102"/>
      <c r="D117" s="102"/>
      <c r="E117" s="102"/>
      <c r="F117" s="102"/>
      <c r="G117" s="102"/>
      <c r="H117" s="102"/>
      <c r="I117" s="102"/>
      <c r="J117" s="102"/>
      <c r="K117" s="271"/>
      <c r="L117" s="102"/>
      <c r="M117" s="261"/>
    </row>
    <row r="118" spans="2:13" x14ac:dyDescent="0.25">
      <c r="C118" s="102" t="s">
        <v>56</v>
      </c>
      <c r="D118" s="102"/>
      <c r="E118" s="102"/>
      <c r="F118" s="102"/>
      <c r="G118" s="102"/>
      <c r="H118" s="102"/>
      <c r="I118" s="102"/>
      <c r="J118" s="102"/>
      <c r="K118" s="200">
        <f>KalkMITGrenzKoOptIst!$L$62</f>
        <v>22850</v>
      </c>
      <c r="L118" s="102" t="s">
        <v>41</v>
      </c>
      <c r="M118" s="261"/>
    </row>
    <row r="119" spans="2:13" x14ac:dyDescent="0.25">
      <c r="B119" s="99" t="s">
        <v>77</v>
      </c>
      <c r="C119" s="102" t="s">
        <v>150</v>
      </c>
      <c r="D119" s="102"/>
      <c r="E119" s="102"/>
      <c r="F119" s="102"/>
      <c r="G119" s="102"/>
      <c r="H119" s="102"/>
      <c r="I119" s="102"/>
      <c r="J119" s="102"/>
      <c r="K119" s="200">
        <f>-KalkMITGrenzKoOptIst!L54</f>
        <v>12600</v>
      </c>
      <c r="L119" s="102" t="s">
        <v>41</v>
      </c>
      <c r="M119" s="261"/>
    </row>
    <row r="120" spans="2:13" x14ac:dyDescent="0.25">
      <c r="B120" s="265" t="s">
        <v>78</v>
      </c>
      <c r="C120" s="211" t="s">
        <v>44</v>
      </c>
      <c r="D120" s="211"/>
      <c r="E120" s="211"/>
      <c r="F120" s="211"/>
      <c r="G120" s="211"/>
      <c r="H120" s="211"/>
      <c r="I120" s="211"/>
      <c r="J120" s="211"/>
      <c r="K120" s="266">
        <f>K118+K119</f>
        <v>35450</v>
      </c>
      <c r="L120" s="211" t="s">
        <v>41</v>
      </c>
      <c r="M120" s="261"/>
    </row>
    <row r="121" spans="2:13" x14ac:dyDescent="0.25">
      <c r="B121" s="99" t="s">
        <v>53</v>
      </c>
      <c r="C121" s="102" t="s">
        <v>45</v>
      </c>
      <c r="D121" s="102"/>
      <c r="E121" s="102"/>
      <c r="F121" s="102"/>
      <c r="G121" s="102"/>
      <c r="H121" s="102"/>
      <c r="I121" s="102"/>
      <c r="J121" s="102"/>
      <c r="K121" s="200">
        <f>KalkMITGrenzKoOptIst!H54</f>
        <v>30</v>
      </c>
      <c r="L121" s="102" t="s">
        <v>86</v>
      </c>
      <c r="M121" s="261"/>
    </row>
    <row r="122" spans="2:13" x14ac:dyDescent="0.25">
      <c r="B122" s="265" t="s">
        <v>78</v>
      </c>
      <c r="C122" s="211" t="s">
        <v>46</v>
      </c>
      <c r="D122" s="211"/>
      <c r="E122" s="211"/>
      <c r="F122" s="211"/>
      <c r="G122" s="211"/>
      <c r="H122" s="211"/>
      <c r="I122" s="211"/>
      <c r="J122" s="211"/>
      <c r="K122" s="273">
        <f>K120/K121</f>
        <v>1181.6666666666667</v>
      </c>
      <c r="L122" s="211" t="s">
        <v>29</v>
      </c>
      <c r="M122" s="261"/>
    </row>
    <row r="123" spans="2:13" ht="13" x14ac:dyDescent="0.3">
      <c r="B123" s="269" t="s">
        <v>78</v>
      </c>
      <c r="C123" s="269" t="s">
        <v>9</v>
      </c>
      <c r="D123" s="102"/>
      <c r="E123" s="102"/>
      <c r="F123" s="102"/>
      <c r="G123" s="102"/>
      <c r="H123" s="102"/>
      <c r="I123" s="102"/>
      <c r="J123" s="102"/>
      <c r="K123" s="270"/>
      <c r="L123" s="261"/>
      <c r="M123" s="261"/>
    </row>
    <row r="124" spans="2:13" x14ac:dyDescent="0.25">
      <c r="B124" s="261"/>
      <c r="C124" s="261"/>
      <c r="D124" s="102"/>
      <c r="E124" s="102"/>
      <c r="F124" s="102"/>
      <c r="G124" s="102"/>
      <c r="H124" s="102"/>
      <c r="I124" s="102"/>
      <c r="J124" s="102"/>
      <c r="K124" s="271"/>
      <c r="L124" s="102"/>
      <c r="M124" s="261"/>
    </row>
    <row r="125" spans="2:13" x14ac:dyDescent="0.25">
      <c r="B125" s="102"/>
      <c r="D125" s="102"/>
      <c r="E125" s="102"/>
      <c r="F125" s="102"/>
      <c r="G125" s="102"/>
      <c r="H125" s="102"/>
      <c r="I125" s="102"/>
      <c r="J125" s="102"/>
      <c r="K125" s="271"/>
      <c r="L125" s="102"/>
      <c r="M125" s="261"/>
    </row>
    <row r="126" spans="2:13" x14ac:dyDescent="0.25">
      <c r="B126" s="263" t="s">
        <v>8</v>
      </c>
      <c r="D126" s="102"/>
      <c r="E126" s="102"/>
      <c r="F126" s="102"/>
      <c r="G126" s="102"/>
      <c r="H126" s="102"/>
      <c r="I126" s="102"/>
      <c r="J126" s="102"/>
      <c r="K126" s="271"/>
      <c r="L126" s="102"/>
      <c r="M126" s="261"/>
    </row>
    <row r="127" spans="2:13" x14ac:dyDescent="0.25">
      <c r="B127" s="102"/>
      <c r="D127" s="102"/>
      <c r="E127" s="102"/>
      <c r="F127" s="102"/>
      <c r="G127" s="102"/>
      <c r="H127" s="102"/>
      <c r="I127" s="102"/>
      <c r="J127" s="102"/>
      <c r="K127" s="271"/>
      <c r="L127" s="102"/>
      <c r="M127" s="261"/>
    </row>
    <row r="128" spans="2:13" x14ac:dyDescent="0.25">
      <c r="C128" s="102" t="s">
        <v>182</v>
      </c>
      <c r="D128" s="102"/>
      <c r="E128" s="102"/>
      <c r="F128" s="102"/>
      <c r="G128" s="102"/>
      <c r="H128" s="102"/>
      <c r="I128" s="102"/>
      <c r="J128" s="102"/>
      <c r="K128" s="200">
        <f>KalkMITGrenzKoOptIst!$L$63</f>
        <v>12700</v>
      </c>
      <c r="L128" s="102" t="s">
        <v>41</v>
      </c>
      <c r="M128" s="261"/>
    </row>
    <row r="129" spans="2:15" x14ac:dyDescent="0.25">
      <c r="B129" s="99" t="s">
        <v>77</v>
      </c>
      <c r="C129" s="102" t="s">
        <v>151</v>
      </c>
      <c r="D129" s="102"/>
      <c r="E129" s="102"/>
      <c r="F129" s="102"/>
      <c r="G129" s="102"/>
      <c r="H129" s="102"/>
      <c r="I129" s="102"/>
      <c r="J129" s="102"/>
      <c r="K129" s="200">
        <f>-(KalkMITGrenzKoOptIst!$L$54-KalkMITGrenzKoOptIst!$L$32)</f>
        <v>12600</v>
      </c>
      <c r="L129" s="102" t="s">
        <v>41</v>
      </c>
      <c r="M129" s="261"/>
    </row>
    <row r="130" spans="2:15" x14ac:dyDescent="0.25">
      <c r="B130" s="265" t="s">
        <v>78</v>
      </c>
      <c r="C130" s="211" t="s">
        <v>47</v>
      </c>
      <c r="D130" s="211"/>
      <c r="E130" s="211"/>
      <c r="F130" s="211"/>
      <c r="G130" s="211"/>
      <c r="H130" s="211"/>
      <c r="I130" s="211"/>
      <c r="J130" s="211"/>
      <c r="K130" s="266">
        <f>K128+K129</f>
        <v>25300</v>
      </c>
      <c r="L130" s="211" t="s">
        <v>41</v>
      </c>
      <c r="M130" s="261"/>
    </row>
    <row r="131" spans="2:15" x14ac:dyDescent="0.25">
      <c r="B131" s="99" t="s">
        <v>53</v>
      </c>
      <c r="C131" s="102" t="s">
        <v>48</v>
      </c>
      <c r="D131" s="102"/>
      <c r="E131" s="102"/>
      <c r="F131" s="102"/>
      <c r="G131" s="102"/>
      <c r="H131" s="102"/>
      <c r="I131" s="102"/>
      <c r="J131" s="102"/>
      <c r="K131" s="200">
        <f>KalkMITGrenzKoOptIst!$L$48</f>
        <v>30</v>
      </c>
      <c r="L131" s="102" t="s">
        <v>86</v>
      </c>
      <c r="M131" s="261"/>
    </row>
    <row r="132" spans="2:15" x14ac:dyDescent="0.25">
      <c r="B132" s="265" t="s">
        <v>78</v>
      </c>
      <c r="C132" s="211" t="s">
        <v>49</v>
      </c>
      <c r="D132" s="211"/>
      <c r="E132" s="211"/>
      <c r="F132" s="211"/>
      <c r="G132" s="211"/>
      <c r="H132" s="211"/>
      <c r="I132" s="211"/>
      <c r="J132" s="211"/>
      <c r="K132" s="272">
        <f>K130/K131</f>
        <v>843.33333333333337</v>
      </c>
      <c r="L132" s="211" t="s">
        <v>29</v>
      </c>
      <c r="M132" s="261"/>
    </row>
    <row r="133" spans="2:15" ht="13" x14ac:dyDescent="0.3">
      <c r="B133" s="269" t="s">
        <v>78</v>
      </c>
      <c r="C133" s="269" t="s">
        <v>14</v>
      </c>
      <c r="D133" s="102"/>
      <c r="E133" s="102"/>
      <c r="F133" s="102"/>
      <c r="G133" s="102"/>
      <c r="H133" s="102"/>
      <c r="I133" s="102"/>
      <c r="J133" s="102"/>
      <c r="K133" s="102"/>
      <c r="L133" s="102"/>
      <c r="M133" s="261"/>
      <c r="N133" s="270"/>
      <c r="O133" s="261"/>
    </row>
    <row r="134" spans="2:15" ht="13" x14ac:dyDescent="0.3">
      <c r="B134" s="269" t="s">
        <v>78</v>
      </c>
      <c r="C134" s="269" t="s">
        <v>15</v>
      </c>
      <c r="D134" s="102"/>
      <c r="E134" s="102"/>
      <c r="F134" s="102"/>
      <c r="G134" s="102"/>
      <c r="H134" s="102"/>
      <c r="I134" s="102"/>
      <c r="J134" s="102"/>
      <c r="K134" s="102"/>
      <c r="L134" s="102"/>
      <c r="M134" s="261"/>
      <c r="N134" s="271"/>
      <c r="O134" s="102"/>
    </row>
    <row r="135" spans="2:15" x14ac:dyDescent="0.25">
      <c r="B135" s="102"/>
      <c r="C135" s="99" t="s">
        <v>24</v>
      </c>
      <c r="D135" s="102"/>
      <c r="E135" s="102"/>
      <c r="F135" s="102"/>
      <c r="G135" s="102"/>
      <c r="H135" s="102"/>
      <c r="I135" s="102"/>
      <c r="J135" s="102"/>
      <c r="K135" s="102"/>
      <c r="L135" s="102"/>
      <c r="M135" s="261"/>
      <c r="N135" s="271"/>
      <c r="O135" s="102"/>
    </row>
    <row r="136" spans="2:15" x14ac:dyDescent="0.25">
      <c r="B136" s="261"/>
      <c r="C136" s="261"/>
      <c r="D136" s="261"/>
      <c r="E136" s="261"/>
      <c r="F136" s="261"/>
      <c r="G136" s="261"/>
      <c r="H136" s="261"/>
      <c r="I136" s="261"/>
      <c r="J136" s="261"/>
      <c r="K136" s="261"/>
      <c r="L136" s="261"/>
      <c r="M136" s="261"/>
      <c r="N136" s="261"/>
      <c r="O136" s="261"/>
    </row>
    <row r="137" spans="2:15" x14ac:dyDescent="0.25">
      <c r="B137" s="261"/>
      <c r="C137" s="261"/>
      <c r="D137" s="261"/>
      <c r="E137" s="261"/>
      <c r="F137" s="261"/>
      <c r="G137" s="261"/>
      <c r="H137" s="261"/>
      <c r="I137" s="261"/>
      <c r="J137" s="261"/>
      <c r="K137" s="261"/>
      <c r="L137" s="261"/>
      <c r="M137" s="261"/>
      <c r="N137" s="261"/>
      <c r="O137" s="261"/>
    </row>
    <row r="138" spans="2:15" ht="14" x14ac:dyDescent="0.25">
      <c r="B138" s="4" t="s">
        <v>183</v>
      </c>
      <c r="C138" s="264"/>
      <c r="D138" s="261"/>
      <c r="E138" s="261"/>
      <c r="F138" s="261"/>
      <c r="G138" s="261"/>
      <c r="H138" s="261"/>
      <c r="I138" s="261"/>
      <c r="J138" s="261"/>
      <c r="K138" s="261"/>
      <c r="M138" s="261"/>
    </row>
    <row r="139" spans="2:15" x14ac:dyDescent="0.25">
      <c r="B139" s="264"/>
      <c r="C139" s="261"/>
      <c r="D139" s="261"/>
      <c r="E139" s="261"/>
      <c r="F139" s="261"/>
      <c r="G139" s="261"/>
      <c r="H139" s="261"/>
      <c r="I139" s="261"/>
      <c r="J139" s="261"/>
      <c r="K139" s="261"/>
      <c r="M139" s="261"/>
    </row>
    <row r="140" spans="2:15" x14ac:dyDescent="0.25">
      <c r="B140" s="274" t="s">
        <v>54</v>
      </c>
      <c r="C140" s="261"/>
      <c r="D140" s="261"/>
      <c r="E140" s="261"/>
      <c r="F140" s="261"/>
      <c r="G140" s="261"/>
      <c r="H140" s="261"/>
      <c r="I140" s="261"/>
      <c r="J140" s="261"/>
      <c r="K140" s="261"/>
      <c r="M140" s="261"/>
    </row>
    <row r="141" spans="2:15" x14ac:dyDescent="0.25">
      <c r="C141" s="102" t="s">
        <v>148</v>
      </c>
      <c r="D141" s="102"/>
      <c r="E141" s="102"/>
      <c r="G141" s="102"/>
      <c r="H141" s="102"/>
      <c r="I141" s="102"/>
      <c r="J141" s="102"/>
      <c r="K141" s="200">
        <f>-SUM(KalkMITGrenzKoOptIst!L55:L58)</f>
        <v>41160</v>
      </c>
      <c r="L141" s="102" t="s">
        <v>41</v>
      </c>
      <c r="M141" s="261"/>
    </row>
    <row r="142" spans="2:15" x14ac:dyDescent="0.25">
      <c r="B142" s="99" t="s">
        <v>53</v>
      </c>
      <c r="C142" s="102" t="s">
        <v>80</v>
      </c>
      <c r="D142" s="102"/>
      <c r="E142" s="102"/>
      <c r="G142" s="102"/>
      <c r="H142" s="102"/>
      <c r="I142" s="102"/>
      <c r="J142" s="102"/>
      <c r="K142" s="200">
        <f>SUM(KalkMITGrenzKoOptIst!H55:H56)</f>
        <v>504000</v>
      </c>
      <c r="L142" s="102" t="s">
        <v>41</v>
      </c>
      <c r="M142" s="261"/>
    </row>
    <row r="143" spans="2:15" x14ac:dyDescent="0.25">
      <c r="B143" s="99" t="s">
        <v>78</v>
      </c>
      <c r="C143" s="102" t="s">
        <v>54</v>
      </c>
      <c r="D143" s="102"/>
      <c r="E143" s="102"/>
      <c r="G143" s="102"/>
      <c r="H143" s="102"/>
      <c r="I143" s="102"/>
      <c r="J143" s="102"/>
      <c r="K143" s="275">
        <f>K141/K142</f>
        <v>8.1666666666666665E-2</v>
      </c>
      <c r="L143" s="102"/>
      <c r="M143" s="261"/>
    </row>
    <row r="144" spans="2:15" x14ac:dyDescent="0.25">
      <c r="C144" s="102"/>
      <c r="D144" s="102"/>
      <c r="E144" s="102"/>
      <c r="G144" s="102"/>
      <c r="H144" s="102"/>
      <c r="I144" s="102"/>
      <c r="J144" s="102"/>
      <c r="K144" s="102"/>
      <c r="L144" s="102"/>
      <c r="M144" s="261"/>
    </row>
    <row r="145" spans="2:13" x14ac:dyDescent="0.25">
      <c r="B145" s="274" t="s">
        <v>55</v>
      </c>
      <c r="C145" s="102"/>
      <c r="D145" s="102"/>
      <c r="E145" s="102"/>
      <c r="G145" s="102"/>
      <c r="H145" s="102"/>
      <c r="I145" s="102"/>
      <c r="J145" s="102"/>
      <c r="K145" s="262"/>
      <c r="L145" s="102"/>
      <c r="M145" s="261"/>
    </row>
    <row r="146" spans="2:13" x14ac:dyDescent="0.25">
      <c r="C146" s="102" t="s">
        <v>182</v>
      </c>
      <c r="D146" s="102"/>
      <c r="E146" s="102"/>
      <c r="G146" s="102"/>
      <c r="H146" s="102"/>
      <c r="I146" s="102"/>
      <c r="J146" s="102"/>
      <c r="K146" s="200">
        <f>KalkMITGrenzKoOptIst!$L$63</f>
        <v>12700</v>
      </c>
      <c r="L146" s="102" t="s">
        <v>41</v>
      </c>
      <c r="M146" s="261"/>
    </row>
    <row r="147" spans="2:13" x14ac:dyDescent="0.25">
      <c r="B147" s="99" t="s">
        <v>77</v>
      </c>
      <c r="C147" s="102" t="s">
        <v>148</v>
      </c>
      <c r="D147" s="102"/>
      <c r="E147" s="102"/>
      <c r="G147" s="102"/>
      <c r="H147" s="102"/>
      <c r="I147" s="102"/>
      <c r="J147" s="102"/>
      <c r="K147" s="200">
        <f>-SUM(KalkMITGrenzKoOptIst!L55:L58)</f>
        <v>41160</v>
      </c>
      <c r="L147" s="102" t="s">
        <v>41</v>
      </c>
      <c r="M147" s="261"/>
    </row>
    <row r="148" spans="2:13" x14ac:dyDescent="0.25">
      <c r="B148" s="265" t="s">
        <v>78</v>
      </c>
      <c r="C148" s="211" t="s">
        <v>50</v>
      </c>
      <c r="D148" s="211"/>
      <c r="E148" s="211"/>
      <c r="F148" s="211"/>
      <c r="G148" s="211"/>
      <c r="H148" s="211"/>
      <c r="I148" s="211"/>
      <c r="J148" s="211"/>
      <c r="K148" s="266">
        <f>K146+K147</f>
        <v>53860</v>
      </c>
      <c r="L148" s="211" t="s">
        <v>41</v>
      </c>
      <c r="M148" s="261"/>
    </row>
    <row r="149" spans="2:13" x14ac:dyDescent="0.25">
      <c r="B149" s="99" t="s">
        <v>53</v>
      </c>
      <c r="C149" s="102" t="s">
        <v>54</v>
      </c>
      <c r="D149" s="102"/>
      <c r="E149" s="102"/>
      <c r="F149" s="102"/>
      <c r="G149" s="102"/>
      <c r="H149" s="102"/>
      <c r="I149" s="102"/>
      <c r="J149" s="102"/>
      <c r="K149" s="276">
        <f>K143</f>
        <v>8.1666666666666665E-2</v>
      </c>
      <c r="L149" s="102"/>
      <c r="M149" s="261"/>
    </row>
    <row r="150" spans="2:13" x14ac:dyDescent="0.25">
      <c r="B150" s="265" t="s">
        <v>78</v>
      </c>
      <c r="C150" s="211" t="s">
        <v>55</v>
      </c>
      <c r="D150" s="211"/>
      <c r="E150" s="211"/>
      <c r="F150" s="211"/>
      <c r="G150" s="211"/>
      <c r="H150" s="211"/>
      <c r="I150" s="211"/>
      <c r="J150" s="211"/>
      <c r="K150" s="266">
        <f>K148/K149</f>
        <v>659510.20408163266</v>
      </c>
      <c r="L150" s="211" t="s">
        <v>41</v>
      </c>
      <c r="M150" s="261"/>
    </row>
    <row r="151" spans="2:13" x14ac:dyDescent="0.25">
      <c r="B151" s="277"/>
      <c r="C151" s="278"/>
      <c r="D151" s="261"/>
      <c r="E151" s="261"/>
      <c r="G151" s="261"/>
      <c r="H151" s="261"/>
      <c r="I151" s="279"/>
      <c r="J151" s="278"/>
      <c r="K151" s="261"/>
      <c r="M151" s="261"/>
    </row>
    <row r="152" spans="2:13" x14ac:dyDescent="0.25">
      <c r="B152" s="102" t="s">
        <v>184</v>
      </c>
      <c r="C152" s="264"/>
      <c r="D152" s="102"/>
      <c r="E152" s="102"/>
      <c r="G152" s="102"/>
      <c r="H152" s="102"/>
      <c r="I152" s="102"/>
      <c r="J152" s="102"/>
      <c r="K152" s="102"/>
      <c r="M152" s="261"/>
    </row>
    <row r="153" spans="2:13" x14ac:dyDescent="0.25">
      <c r="B153" s="102" t="s">
        <v>185</v>
      </c>
      <c r="C153" s="264"/>
      <c r="D153" s="102"/>
      <c r="E153" s="102"/>
      <c r="G153" s="102"/>
      <c r="H153" s="102"/>
      <c r="I153" s="102"/>
      <c r="J153" s="102"/>
      <c r="K153" s="102"/>
      <c r="M153" s="261"/>
    </row>
    <row r="154" spans="2:13" x14ac:dyDescent="0.25">
      <c r="B154" s="102" t="s">
        <v>4</v>
      </c>
      <c r="C154" s="102" t="s">
        <v>186</v>
      </c>
      <c r="D154" s="102"/>
      <c r="E154" s="264"/>
      <c r="I154" s="200">
        <f>K150*(KalkMITGrenzKoOptIst!N55/SUM(KalkMITGrenzKoOptIst!N55:N56))</f>
        <v>439673.46938775509</v>
      </c>
      <c r="J154" s="102" t="s">
        <v>205</v>
      </c>
      <c r="K154" s="280">
        <f>I154/KalkMITGrenzKoOptIst!$B$45</f>
        <v>366.39455782312922</v>
      </c>
      <c r="L154" s="102" t="s">
        <v>52</v>
      </c>
      <c r="M154" s="261"/>
    </row>
    <row r="155" spans="2:13" x14ac:dyDescent="0.25">
      <c r="B155" s="102" t="s">
        <v>4</v>
      </c>
      <c r="C155" s="102" t="s">
        <v>187</v>
      </c>
      <c r="D155" s="102"/>
      <c r="E155" s="264"/>
      <c r="I155" s="200">
        <f>K150-I154</f>
        <v>219836.73469387757</v>
      </c>
      <c r="J155" s="102" t="s">
        <v>205</v>
      </c>
      <c r="K155" s="280">
        <f>I155/KalkMITGrenzKoOptIst!$B$45</f>
        <v>183.19727891156464</v>
      </c>
      <c r="L155" s="102" t="s">
        <v>52</v>
      </c>
      <c r="M155" s="261"/>
    </row>
    <row r="156" spans="2:13" x14ac:dyDescent="0.25"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  <c r="M156" s="261"/>
    </row>
    <row r="157" spans="2:13" x14ac:dyDescent="0.25">
      <c r="M157" s="261"/>
    </row>
    <row r="158" spans="2:13" x14ac:dyDescent="0.25">
      <c r="M158" s="261"/>
    </row>
    <row r="159" spans="2:13" x14ac:dyDescent="0.25">
      <c r="M159" s="261"/>
    </row>
    <row r="160" spans="2:13" x14ac:dyDescent="0.25">
      <c r="M160" s="261"/>
    </row>
    <row r="161" spans="2:20" x14ac:dyDescent="0.25">
      <c r="M161" s="261"/>
    </row>
    <row r="162" spans="2:20" ht="14" x14ac:dyDescent="0.25">
      <c r="B162" s="260" t="s">
        <v>188</v>
      </c>
      <c r="C162" s="261"/>
      <c r="D162" s="264"/>
      <c r="E162" s="261"/>
      <c r="F162" s="261"/>
      <c r="G162" s="261"/>
      <c r="H162" s="261"/>
      <c r="I162" s="261"/>
      <c r="J162" s="261"/>
      <c r="K162" s="261"/>
      <c r="L162" s="261"/>
      <c r="M162" s="261"/>
      <c r="N162" s="261"/>
      <c r="O162" s="261"/>
      <c r="P162" s="261"/>
      <c r="Q162" s="261"/>
      <c r="R162" s="261"/>
      <c r="S162" s="261"/>
      <c r="T162" s="261"/>
    </row>
    <row r="163" spans="2:20" x14ac:dyDescent="0.25">
      <c r="B163" s="261"/>
      <c r="C163" s="261"/>
      <c r="D163" s="264"/>
      <c r="E163" s="261"/>
      <c r="F163" s="261"/>
      <c r="G163" s="261"/>
      <c r="H163" s="261"/>
      <c r="I163" s="261"/>
      <c r="J163" s="261"/>
      <c r="K163" s="261"/>
      <c r="L163" s="261"/>
      <c r="M163" s="261"/>
      <c r="N163" s="261"/>
      <c r="O163" s="261"/>
      <c r="P163" s="261"/>
      <c r="Q163" s="261"/>
      <c r="R163" s="261"/>
      <c r="S163" s="261"/>
      <c r="T163" s="261"/>
    </row>
    <row r="164" spans="2:20" x14ac:dyDescent="0.25">
      <c r="B164" s="263" t="s">
        <v>189</v>
      </c>
      <c r="C164" s="261"/>
      <c r="D164" s="264"/>
      <c r="E164" s="261"/>
      <c r="F164" s="261"/>
      <c r="G164" s="261"/>
      <c r="H164" s="261"/>
      <c r="I164" s="261"/>
      <c r="J164" s="261"/>
      <c r="K164" s="261"/>
      <c r="L164" s="261"/>
      <c r="M164" s="261"/>
      <c r="N164" s="261"/>
      <c r="O164" s="261"/>
      <c r="P164" s="261"/>
      <c r="Q164" s="261"/>
      <c r="R164" s="261"/>
      <c r="S164" s="261"/>
      <c r="T164" s="261"/>
    </row>
    <row r="165" spans="2:20" x14ac:dyDescent="0.25">
      <c r="B165" s="261" t="s">
        <v>190</v>
      </c>
      <c r="C165" s="261"/>
      <c r="D165" s="264"/>
      <c r="E165" s="261"/>
      <c r="F165" s="261"/>
      <c r="G165" s="261"/>
      <c r="H165" s="261"/>
      <c r="I165" s="261"/>
      <c r="J165" s="281">
        <v>63000</v>
      </c>
      <c r="K165" s="261" t="s">
        <v>65</v>
      </c>
      <c r="L165" s="261"/>
      <c r="M165" s="282" t="s">
        <v>191</v>
      </c>
      <c r="N165" s="261"/>
      <c r="O165" s="261"/>
    </row>
    <row r="166" spans="2:20" x14ac:dyDescent="0.25">
      <c r="B166" s="261" t="s">
        <v>192</v>
      </c>
      <c r="C166" s="264"/>
      <c r="D166" s="264"/>
      <c r="E166" s="261"/>
      <c r="F166" s="261"/>
      <c r="G166" s="261"/>
      <c r="H166" s="261"/>
      <c r="I166" s="261"/>
      <c r="J166" s="281">
        <v>440000</v>
      </c>
      <c r="K166" s="261" t="s">
        <v>41</v>
      </c>
      <c r="L166" s="261"/>
      <c r="M166" s="282" t="s">
        <v>191</v>
      </c>
      <c r="N166" s="261"/>
      <c r="O166" s="261"/>
    </row>
    <row r="167" spans="2:20" x14ac:dyDescent="0.25">
      <c r="B167" s="261" t="s">
        <v>111</v>
      </c>
      <c r="C167" s="264"/>
      <c r="E167" s="283">
        <v>0.8</v>
      </c>
      <c r="F167" s="261" t="s">
        <v>193</v>
      </c>
      <c r="H167" s="261"/>
      <c r="I167" s="261"/>
      <c r="J167" s="243">
        <f>KalkMITGrenzKoOptIst!J176</f>
        <v>4</v>
      </c>
      <c r="K167" s="203" t="s">
        <v>28</v>
      </c>
      <c r="L167" s="261"/>
      <c r="M167" s="282" t="s">
        <v>194</v>
      </c>
      <c r="N167" s="261"/>
      <c r="O167" s="261"/>
    </row>
    <row r="168" spans="2:20" x14ac:dyDescent="0.25">
      <c r="B168" s="261"/>
      <c r="C168" s="264"/>
      <c r="E168" s="284">
        <f>1-E167</f>
        <v>0.19999999999999996</v>
      </c>
      <c r="F168" s="261" t="s">
        <v>195</v>
      </c>
      <c r="H168" s="261"/>
      <c r="I168" s="261"/>
      <c r="J168" s="243">
        <f>KalkMITGrenzKoOptIst!J177</f>
        <v>6</v>
      </c>
      <c r="K168" s="203" t="s">
        <v>28</v>
      </c>
      <c r="L168" s="261"/>
      <c r="M168" s="282" t="s">
        <v>194</v>
      </c>
      <c r="N168" s="261"/>
      <c r="O168" s="261"/>
    </row>
    <row r="169" spans="2:20" x14ac:dyDescent="0.25">
      <c r="B169" s="261" t="s">
        <v>196</v>
      </c>
      <c r="C169" s="264"/>
      <c r="D169" s="264"/>
      <c r="E169" s="261"/>
      <c r="F169" s="261"/>
      <c r="G169" s="261"/>
      <c r="H169" s="261"/>
      <c r="I169" s="261"/>
      <c r="J169" s="261">
        <f>KalkMITGrenzKoOptIst!J178</f>
        <v>12</v>
      </c>
      <c r="K169" s="261" t="str">
        <f>KalkMITGrenzKoOptIst!K178</f>
        <v>€/AKh</v>
      </c>
      <c r="L169" s="261"/>
      <c r="M169" s="282" t="s">
        <v>194</v>
      </c>
      <c r="N169" s="261"/>
      <c r="O169" s="261"/>
    </row>
    <row r="170" spans="2:20" x14ac:dyDescent="0.25">
      <c r="B170" s="261" t="s">
        <v>108</v>
      </c>
      <c r="C170" s="264"/>
      <c r="D170" s="264"/>
      <c r="E170" s="261"/>
      <c r="F170" s="261"/>
      <c r="G170" s="261"/>
      <c r="H170" s="261"/>
      <c r="I170" s="261"/>
      <c r="J170" s="261"/>
      <c r="K170" s="261"/>
      <c r="L170" s="261"/>
      <c r="M170" s="282"/>
      <c r="N170" s="261"/>
      <c r="O170" s="261"/>
    </row>
    <row r="171" spans="2:20" x14ac:dyDescent="0.25">
      <c r="B171" s="261" t="s">
        <v>110</v>
      </c>
      <c r="C171" s="264"/>
      <c r="D171" s="264"/>
      <c r="E171" s="247">
        <v>40</v>
      </c>
      <c r="F171" s="261" t="s">
        <v>109</v>
      </c>
      <c r="G171" s="261"/>
      <c r="J171" s="202">
        <v>400</v>
      </c>
      <c r="K171" s="203" t="s">
        <v>29</v>
      </c>
      <c r="L171" s="261"/>
      <c r="M171" s="282" t="s">
        <v>191</v>
      </c>
      <c r="N171" s="261"/>
      <c r="O171" s="261"/>
    </row>
    <row r="172" spans="2:20" x14ac:dyDescent="0.25">
      <c r="B172" s="285"/>
      <c r="C172" s="264"/>
      <c r="D172" s="264"/>
      <c r="E172" s="261">
        <f>KalkMITGrenzKoOptIst!L15-E171</f>
        <v>60</v>
      </c>
      <c r="F172" s="261" t="s">
        <v>197</v>
      </c>
      <c r="G172" s="261"/>
      <c r="J172" s="261">
        <f>KalkMITGrenzKoOptIst!J179</f>
        <v>420</v>
      </c>
      <c r="K172" s="261" t="str">
        <f>KalkMITGrenzKoOptIst!K179</f>
        <v>€/ha</v>
      </c>
      <c r="L172" s="261"/>
      <c r="M172" s="282" t="s">
        <v>194</v>
      </c>
      <c r="N172" s="261"/>
      <c r="O172" s="261"/>
    </row>
    <row r="173" spans="2:20" x14ac:dyDescent="0.25"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  <c r="L173" s="264"/>
      <c r="M173" s="171"/>
      <c r="N173" s="264"/>
      <c r="O173" s="264"/>
    </row>
    <row r="174" spans="2:20" x14ac:dyDescent="0.25"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171"/>
      <c r="N174" s="264"/>
      <c r="O174" s="264"/>
    </row>
    <row r="175" spans="2:20" x14ac:dyDescent="0.25">
      <c r="B175" s="263" t="s">
        <v>198</v>
      </c>
      <c r="C175" s="261"/>
      <c r="D175" s="264"/>
      <c r="E175" s="261"/>
      <c r="F175" s="261"/>
      <c r="G175" s="261"/>
      <c r="H175" s="261"/>
      <c r="I175" s="261"/>
      <c r="J175" s="261"/>
      <c r="K175" s="261"/>
      <c r="L175" s="261"/>
      <c r="M175" s="282"/>
      <c r="N175" s="261"/>
      <c r="O175" s="261"/>
    </row>
    <row r="176" spans="2:20" x14ac:dyDescent="0.25">
      <c r="B176" s="261" t="s">
        <v>4</v>
      </c>
      <c r="C176" s="261" t="s">
        <v>127</v>
      </c>
      <c r="D176" s="264"/>
      <c r="E176" s="286">
        <v>0.5</v>
      </c>
      <c r="F176" s="261" t="s">
        <v>134</v>
      </c>
      <c r="I176" s="261"/>
      <c r="J176" s="202">
        <v>4</v>
      </c>
      <c r="K176" s="203" t="s">
        <v>28</v>
      </c>
      <c r="L176" s="261"/>
      <c r="M176" s="282" t="s">
        <v>191</v>
      </c>
      <c r="N176" s="261"/>
      <c r="O176" s="261"/>
    </row>
    <row r="177" spans="2:20" x14ac:dyDescent="0.25">
      <c r="B177" s="261"/>
      <c r="C177" s="261"/>
      <c r="D177" s="264"/>
      <c r="E177" s="287">
        <f>1-E176</f>
        <v>0.5</v>
      </c>
      <c r="F177" s="261" t="s">
        <v>135</v>
      </c>
      <c r="I177" s="261"/>
      <c r="J177" s="243">
        <f>(KalkMITGrenzKoOptIst!J30-KalkMITGrenzKoOptIst!E176*KalkMITGrenzKoOptIst!J176)/KalkMITGrenzKoOptIst!E177</f>
        <v>6</v>
      </c>
      <c r="K177" s="203" t="s">
        <v>28</v>
      </c>
      <c r="L177" s="261"/>
      <c r="M177" s="282" t="s">
        <v>199</v>
      </c>
      <c r="N177" s="261"/>
      <c r="O177" s="261"/>
    </row>
    <row r="178" spans="2:20" x14ac:dyDescent="0.25">
      <c r="B178" s="261" t="s">
        <v>4</v>
      </c>
      <c r="C178" s="261" t="s">
        <v>128</v>
      </c>
      <c r="D178" s="264"/>
      <c r="E178" s="261" t="s">
        <v>136</v>
      </c>
      <c r="F178" s="261"/>
      <c r="I178" s="261"/>
      <c r="J178" s="243">
        <f>KalkMITGrenzKoOptIst!J31</f>
        <v>12</v>
      </c>
      <c r="K178" s="203" t="s">
        <v>27</v>
      </c>
      <c r="L178" s="261"/>
      <c r="M178" s="171" t="s">
        <v>200</v>
      </c>
      <c r="N178" s="264"/>
      <c r="O178" s="264"/>
    </row>
    <row r="179" spans="2:20" x14ac:dyDescent="0.25">
      <c r="B179" s="261" t="s">
        <v>4</v>
      </c>
      <c r="C179" s="261" t="s">
        <v>129</v>
      </c>
      <c r="D179" s="264"/>
      <c r="E179" s="261" t="s">
        <v>137</v>
      </c>
      <c r="F179" s="261"/>
      <c r="I179" s="261"/>
      <c r="J179" s="243">
        <f>KalkMITGrenzKoOptIst!J32</f>
        <v>420</v>
      </c>
      <c r="K179" s="203" t="s">
        <v>29</v>
      </c>
      <c r="L179" s="264"/>
      <c r="M179" s="171" t="s">
        <v>200</v>
      </c>
      <c r="N179" s="264"/>
      <c r="O179" s="264"/>
    </row>
    <row r="180" spans="2:20" x14ac:dyDescent="0.25">
      <c r="B180" s="264"/>
      <c r="C180" s="278" t="s">
        <v>138</v>
      </c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  <c r="P180" s="264"/>
      <c r="Q180" s="261"/>
      <c r="R180" s="261"/>
      <c r="S180" s="261"/>
      <c r="T180" s="261"/>
    </row>
    <row r="181" spans="2:20" x14ac:dyDescent="0.25">
      <c r="B181" s="264"/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  <c r="P181" s="264"/>
      <c r="Q181" s="264"/>
      <c r="R181" s="264"/>
      <c r="S181" s="264"/>
      <c r="T181" s="264"/>
    </row>
    <row r="182" spans="2:20" x14ac:dyDescent="0.25">
      <c r="B182" s="264"/>
      <c r="C182" s="264"/>
      <c r="D182" s="264"/>
      <c r="E182" s="264"/>
      <c r="F182" s="264"/>
      <c r="G182" s="264"/>
      <c r="H182" s="264"/>
      <c r="I182" s="264"/>
      <c r="J182" s="264"/>
      <c r="K182" s="264"/>
      <c r="L182" s="264"/>
      <c r="M182" s="264"/>
      <c r="N182" s="264"/>
      <c r="O182" s="264"/>
      <c r="P182" s="264"/>
      <c r="Q182" s="264"/>
      <c r="R182" s="264"/>
      <c r="S182" s="264"/>
      <c r="T182" s="264"/>
    </row>
    <row r="183" spans="2:20" x14ac:dyDescent="0.25">
      <c r="B183" s="263" t="s">
        <v>130</v>
      </c>
      <c r="C183" s="264"/>
      <c r="D183" s="264"/>
      <c r="E183" s="264"/>
      <c r="F183" s="264"/>
      <c r="G183" s="264"/>
      <c r="H183" s="264"/>
      <c r="I183" s="264"/>
      <c r="J183" s="264"/>
      <c r="K183" s="264"/>
      <c r="L183" s="264"/>
      <c r="M183" s="264"/>
      <c r="N183" s="264"/>
      <c r="O183" s="264"/>
      <c r="P183" s="264"/>
      <c r="Q183" s="264"/>
      <c r="R183" s="264"/>
      <c r="S183" s="264"/>
      <c r="T183" s="264"/>
    </row>
    <row r="184" spans="2:20" x14ac:dyDescent="0.25">
      <c r="B184" s="261"/>
      <c r="C184" s="261"/>
      <c r="D184" s="264"/>
      <c r="E184" s="261"/>
      <c r="F184" s="261"/>
      <c r="G184" s="261"/>
      <c r="H184" s="288" t="s">
        <v>146</v>
      </c>
      <c r="I184" s="289" t="s">
        <v>145</v>
      </c>
      <c r="J184" s="290"/>
      <c r="K184" s="289" t="s">
        <v>153</v>
      </c>
      <c r="L184" s="291"/>
      <c r="M184" s="261"/>
      <c r="N184" s="261"/>
      <c r="S184" s="261"/>
      <c r="T184" s="264"/>
    </row>
    <row r="185" spans="2:20" x14ac:dyDescent="0.25">
      <c r="B185" s="261"/>
      <c r="C185" s="261"/>
      <c r="D185" s="264"/>
      <c r="E185" s="261"/>
      <c r="F185" s="261"/>
      <c r="G185" s="261"/>
      <c r="H185" s="292" t="s">
        <v>147</v>
      </c>
      <c r="I185" s="292" t="s">
        <v>144</v>
      </c>
      <c r="J185" s="293" t="s">
        <v>90</v>
      </c>
      <c r="K185" s="292" t="s">
        <v>144</v>
      </c>
      <c r="L185" s="294" t="s">
        <v>90</v>
      </c>
      <c r="M185" s="261"/>
      <c r="N185" s="261"/>
      <c r="S185" s="261"/>
      <c r="T185" s="264"/>
    </row>
    <row r="186" spans="2:20" ht="13" x14ac:dyDescent="0.3">
      <c r="B186" s="261"/>
      <c r="C186" s="295"/>
      <c r="D186" s="296" t="s">
        <v>93</v>
      </c>
      <c r="E186" s="297"/>
      <c r="F186" s="297"/>
      <c r="G186" s="297"/>
      <c r="H186" s="298">
        <f>KalkMITGrenzKoOptIst!F15</f>
        <v>112850</v>
      </c>
      <c r="I186" s="299">
        <f>KalkMITGrenzKoOptIst!F26</f>
        <v>11850</v>
      </c>
      <c r="J186" s="300">
        <f>H186+I186</f>
        <v>124700</v>
      </c>
      <c r="K186" s="299">
        <f>KalkMITGrenzKoOptIst!F47</f>
        <v>98850</v>
      </c>
      <c r="L186" s="301">
        <f>H186+K186</f>
        <v>211700</v>
      </c>
      <c r="M186" s="261"/>
      <c r="N186" s="261"/>
      <c r="S186" s="261"/>
      <c r="T186" s="264"/>
    </row>
    <row r="187" spans="2:20" x14ac:dyDescent="0.25">
      <c r="B187" s="261"/>
      <c r="C187" s="302" t="s">
        <v>77</v>
      </c>
      <c r="D187" s="303" t="s">
        <v>164</v>
      </c>
      <c r="E187" s="304">
        <f>KalkMITGrenzKoOptIst!J60</f>
        <v>300</v>
      </c>
      <c r="F187" s="196" t="s">
        <v>29</v>
      </c>
      <c r="G187" s="304"/>
      <c r="H187" s="305">
        <f>E187*KalkMITGrenzKoOptIst!L15</f>
        <v>30000</v>
      </c>
      <c r="I187" s="306">
        <f>J187-H187</f>
        <v>0</v>
      </c>
      <c r="J187" s="307">
        <f>E187*KalkMITGrenzKoOptIst!L25</f>
        <v>30000</v>
      </c>
      <c r="K187" s="306">
        <f>KalkMITGrenzKoOptIst!L60</f>
        <v>9000</v>
      </c>
      <c r="L187" s="308">
        <f>H187+K187</f>
        <v>39000</v>
      </c>
      <c r="M187" s="261"/>
      <c r="N187" s="261"/>
      <c r="S187" s="261"/>
      <c r="T187" s="264"/>
    </row>
    <row r="188" spans="2:20" x14ac:dyDescent="0.25">
      <c r="B188" s="261"/>
      <c r="C188" s="309" t="s">
        <v>76</v>
      </c>
      <c r="D188" s="310" t="s">
        <v>201</v>
      </c>
      <c r="E188" s="304"/>
      <c r="F188" s="304"/>
      <c r="G188" s="311" t="s">
        <v>122</v>
      </c>
      <c r="H188" s="312">
        <f>J165</f>
        <v>63000</v>
      </c>
      <c r="I188" s="313">
        <f>SUM(I200:I203)</f>
        <v>0</v>
      </c>
      <c r="J188" s="314">
        <f>H188+I188</f>
        <v>63000</v>
      </c>
      <c r="K188" s="313">
        <f>SUM(K200:K203)</f>
        <v>30421</v>
      </c>
      <c r="L188" s="315">
        <f>H188+K188</f>
        <v>93421</v>
      </c>
      <c r="M188" s="261"/>
      <c r="N188" s="261"/>
      <c r="S188" s="261"/>
      <c r="T188" s="264"/>
    </row>
    <row r="189" spans="2:20" ht="13" x14ac:dyDescent="0.3">
      <c r="B189" s="261"/>
      <c r="C189" s="316" t="s">
        <v>78</v>
      </c>
      <c r="D189" s="317" t="s">
        <v>59</v>
      </c>
      <c r="E189" s="318"/>
      <c r="F189" s="318"/>
      <c r="G189" s="318"/>
      <c r="H189" s="319">
        <f>H186+H187-H188</f>
        <v>79850</v>
      </c>
      <c r="I189" s="320">
        <f>I186+I187-I188</f>
        <v>11850</v>
      </c>
      <c r="J189" s="321">
        <f>J186+J187-J188</f>
        <v>91700</v>
      </c>
      <c r="K189" s="320">
        <f>K186+K187-K188</f>
        <v>77429</v>
      </c>
      <c r="L189" s="322">
        <f>L186+L187-L188</f>
        <v>157279</v>
      </c>
      <c r="M189" s="261"/>
      <c r="N189" s="261"/>
      <c r="S189" s="261"/>
      <c r="T189" s="264"/>
    </row>
    <row r="190" spans="2:20" x14ac:dyDescent="0.25">
      <c r="B190" s="261"/>
      <c r="C190" s="309" t="s">
        <v>76</v>
      </c>
      <c r="D190" s="310" t="s">
        <v>202</v>
      </c>
      <c r="E190" s="304"/>
      <c r="F190" s="304"/>
      <c r="G190" s="311" t="s">
        <v>124</v>
      </c>
      <c r="H190" s="312">
        <f>KalkMITGrenzKoOptIst!J166*KalkMITGrenzKoOptIst!E168*KalkMITGrenzKoOptIst!J168%+KalkMITGrenzKoOptIst!E172*KalkMITGrenzKoOptIst!J172</f>
        <v>30480</v>
      </c>
      <c r="I190" s="313">
        <f>SUM(I207:I209)</f>
        <v>300</v>
      </c>
      <c r="J190" s="314">
        <f>H190+I190</f>
        <v>30780</v>
      </c>
      <c r="K190" s="313">
        <f>SUM(K207:K209)</f>
        <v>23553</v>
      </c>
      <c r="L190" s="315">
        <f>H190+K190</f>
        <v>54033</v>
      </c>
      <c r="M190" s="261"/>
      <c r="N190" s="261"/>
      <c r="S190" s="261"/>
      <c r="T190" s="264"/>
    </row>
    <row r="191" spans="2:20" ht="13" x14ac:dyDescent="0.3">
      <c r="B191" s="261"/>
      <c r="C191" s="316" t="s">
        <v>78</v>
      </c>
      <c r="D191" s="317" t="s">
        <v>60</v>
      </c>
      <c r="E191" s="318"/>
      <c r="F191" s="318"/>
      <c r="G191" s="318"/>
      <c r="H191" s="319">
        <f>H189-H190</f>
        <v>49370</v>
      </c>
      <c r="I191" s="320">
        <f>I189-I190</f>
        <v>11550</v>
      </c>
      <c r="J191" s="321">
        <f>J189-J190</f>
        <v>60920</v>
      </c>
      <c r="K191" s="320">
        <f>K189-K190</f>
        <v>53876</v>
      </c>
      <c r="L191" s="322">
        <f>L189-L190</f>
        <v>103246</v>
      </c>
      <c r="M191" s="261"/>
      <c r="N191" s="261"/>
      <c r="S191" s="261"/>
      <c r="T191" s="130"/>
    </row>
    <row r="192" spans="2:20" x14ac:dyDescent="0.25">
      <c r="B192" s="261"/>
      <c r="C192" s="309" t="s">
        <v>76</v>
      </c>
      <c r="D192" s="304" t="s">
        <v>133</v>
      </c>
      <c r="E192" s="304"/>
      <c r="F192" s="304"/>
      <c r="G192" s="311" t="s">
        <v>123</v>
      </c>
      <c r="H192" s="312">
        <f>KalkMITGrenzKoOptIst!J15*KalkMITGrenzKoOptIst!J169+KalkMITGrenzKoOptIst!E171*KalkMITGrenzKoOptIst!J171+KalkMITGrenzKoOptIst!J166*KalkMITGrenzKoOptIst!E167*KalkMITGrenzKoOptIst!J167%</f>
        <v>61940</v>
      </c>
      <c r="I192" s="313">
        <f>SUM(I213:I215)</f>
        <v>1400</v>
      </c>
      <c r="J192" s="314">
        <f>H192+I192</f>
        <v>63340</v>
      </c>
      <c r="K192" s="313">
        <f>SUM(K213:K215)</f>
        <v>31026</v>
      </c>
      <c r="L192" s="315">
        <f>H192+K192</f>
        <v>92966</v>
      </c>
      <c r="M192" s="261"/>
      <c r="N192" s="261"/>
      <c r="S192" s="261"/>
      <c r="T192" s="278"/>
    </row>
    <row r="193" spans="2:20" ht="13" x14ac:dyDescent="0.3">
      <c r="B193" s="261"/>
      <c r="C193" s="323" t="s">
        <v>78</v>
      </c>
      <c r="D193" s="256" t="s">
        <v>61</v>
      </c>
      <c r="E193" s="324"/>
      <c r="F193" s="324"/>
      <c r="G193" s="324"/>
      <c r="H193" s="325">
        <f>H191-H192</f>
        <v>-12570</v>
      </c>
      <c r="I193" s="326">
        <f>I191-I192</f>
        <v>10150</v>
      </c>
      <c r="J193" s="327">
        <f>J191-J192</f>
        <v>-2420</v>
      </c>
      <c r="K193" s="326">
        <f>K191-K192</f>
        <v>22850</v>
      </c>
      <c r="L193" s="328">
        <f>L191-L192</f>
        <v>10280</v>
      </c>
      <c r="M193" s="261"/>
      <c r="N193" s="261"/>
      <c r="S193" s="261"/>
      <c r="T193" s="329"/>
    </row>
    <row r="194" spans="2:20" x14ac:dyDescent="0.25">
      <c r="B194" s="261"/>
      <c r="C194" s="330"/>
      <c r="D194" s="331"/>
      <c r="E194" s="332"/>
      <c r="F194" s="332"/>
      <c r="G194" s="332"/>
      <c r="H194" s="333"/>
      <c r="I194" s="333"/>
      <c r="J194" s="333"/>
      <c r="K194" s="334" t="s">
        <v>143</v>
      </c>
      <c r="L194" s="335">
        <f>L193-J193</f>
        <v>12700</v>
      </c>
      <c r="M194" s="261"/>
      <c r="N194" s="261"/>
      <c r="S194" s="261"/>
      <c r="T194" s="278"/>
    </row>
    <row r="195" spans="2:20" x14ac:dyDescent="0.25">
      <c r="B195" s="261"/>
      <c r="C195" s="261"/>
      <c r="D195" s="264"/>
      <c r="E195" s="261"/>
      <c r="F195" s="261"/>
      <c r="G195" s="261"/>
      <c r="H195" s="261"/>
      <c r="I195" s="261"/>
      <c r="J195" s="261"/>
      <c r="K195" s="261"/>
      <c r="L195" s="261"/>
      <c r="M195" s="261"/>
      <c r="N195" s="261"/>
      <c r="S195" s="261"/>
      <c r="T195" s="264"/>
    </row>
    <row r="196" spans="2:20" x14ac:dyDescent="0.25">
      <c r="B196" s="264"/>
      <c r="C196" s="261" t="s">
        <v>203</v>
      </c>
      <c r="D196" s="261"/>
      <c r="E196" s="264"/>
      <c r="F196" s="261"/>
      <c r="G196" s="261"/>
      <c r="H196" s="261"/>
      <c r="I196" s="261"/>
      <c r="J196" s="261"/>
      <c r="K196" s="261"/>
      <c r="L196" s="261"/>
      <c r="M196" s="261"/>
      <c r="N196" s="261"/>
      <c r="S196" s="261"/>
      <c r="T196" s="264"/>
    </row>
    <row r="197" spans="2:20" x14ac:dyDescent="0.25">
      <c r="B197" s="264"/>
      <c r="C197" s="261" t="s">
        <v>204</v>
      </c>
      <c r="D197" s="261"/>
      <c r="E197" s="264"/>
      <c r="F197" s="261"/>
      <c r="G197" s="261"/>
      <c r="H197" s="261"/>
      <c r="I197" s="261"/>
      <c r="J197" s="261"/>
      <c r="K197" s="261"/>
      <c r="L197" s="261"/>
      <c r="M197" s="261"/>
      <c r="N197" s="261"/>
      <c r="S197" s="261"/>
      <c r="T197" s="264"/>
    </row>
    <row r="198" spans="2:20" x14ac:dyDescent="0.25">
      <c r="B198" s="264"/>
      <c r="C198" s="304"/>
      <c r="D198" s="304"/>
      <c r="E198" s="310"/>
      <c r="F198" s="304"/>
      <c r="G198" s="304"/>
      <c r="H198" s="336"/>
      <c r="I198" s="337" t="s">
        <v>145</v>
      </c>
      <c r="J198" s="338"/>
      <c r="K198" s="337" t="s">
        <v>153</v>
      </c>
      <c r="L198" s="338"/>
      <c r="M198" s="261"/>
      <c r="N198" s="261"/>
      <c r="S198" s="261"/>
      <c r="T198" s="264"/>
    </row>
    <row r="199" spans="2:20" ht="13" x14ac:dyDescent="0.3">
      <c r="B199" s="339" t="s">
        <v>73</v>
      </c>
      <c r="C199" s="339" t="s">
        <v>112</v>
      </c>
      <c r="D199" s="310"/>
      <c r="E199" s="304"/>
      <c r="F199" s="304"/>
      <c r="G199" s="304"/>
      <c r="H199" s="336"/>
      <c r="I199" s="340"/>
      <c r="J199" s="341"/>
      <c r="K199" s="340"/>
      <c r="L199" s="341"/>
      <c r="M199" s="261"/>
      <c r="N199" s="261"/>
      <c r="S199" s="261"/>
      <c r="T199" s="264"/>
    </row>
    <row r="200" spans="2:20" x14ac:dyDescent="0.25">
      <c r="B200" s="304"/>
      <c r="C200" s="304"/>
      <c r="D200" s="304" t="s">
        <v>139</v>
      </c>
      <c r="E200" s="304"/>
      <c r="F200" s="304"/>
      <c r="G200" s="304"/>
      <c r="H200" s="336"/>
      <c r="I200" s="342" t="s">
        <v>121</v>
      </c>
      <c r="J200" s="343"/>
      <c r="K200" s="314">
        <f>-KalkMITGrenzKoOptIst!L55</f>
        <v>13440</v>
      </c>
      <c r="L200" s="344" t="s">
        <v>41</v>
      </c>
      <c r="M200" s="261"/>
      <c r="N200" s="261"/>
      <c r="S200" s="261"/>
      <c r="T200" s="264"/>
    </row>
    <row r="201" spans="2:20" x14ac:dyDescent="0.25">
      <c r="B201" s="304"/>
      <c r="C201" s="304"/>
      <c r="D201" s="304" t="s">
        <v>140</v>
      </c>
      <c r="E201" s="304"/>
      <c r="F201" s="304"/>
      <c r="G201" s="304"/>
      <c r="H201" s="304"/>
      <c r="I201" s="342" t="s">
        <v>121</v>
      </c>
      <c r="J201" s="343"/>
      <c r="K201" s="314">
        <f>-KalkMITGrenzKoOptIst!L56</f>
        <v>13440</v>
      </c>
      <c r="L201" s="344" t="s">
        <v>41</v>
      </c>
      <c r="M201" s="261"/>
      <c r="N201" s="261"/>
      <c r="S201" s="261"/>
      <c r="T201" s="264"/>
    </row>
    <row r="202" spans="2:20" x14ac:dyDescent="0.25">
      <c r="B202" s="304"/>
      <c r="C202" s="304"/>
      <c r="D202" s="304" t="s">
        <v>141</v>
      </c>
      <c r="E202" s="304"/>
      <c r="F202" s="304"/>
      <c r="G202" s="304"/>
      <c r="H202" s="304"/>
      <c r="I202" s="342" t="s">
        <v>121</v>
      </c>
      <c r="J202" s="343"/>
      <c r="K202" s="314">
        <f>-KalkMITGrenzKoOptIst!L58</f>
        <v>1680</v>
      </c>
      <c r="L202" s="344" t="s">
        <v>41</v>
      </c>
      <c r="M202" s="261"/>
      <c r="N202" s="261"/>
      <c r="S202" s="261"/>
      <c r="T202" s="264"/>
    </row>
    <row r="203" spans="2:20" x14ac:dyDescent="0.25">
      <c r="B203" s="304"/>
      <c r="C203" s="304"/>
      <c r="D203" s="318" t="s">
        <v>142</v>
      </c>
      <c r="E203" s="318"/>
      <c r="F203" s="318"/>
      <c r="G203" s="318"/>
      <c r="H203" s="318"/>
      <c r="I203" s="345" t="s">
        <v>121</v>
      </c>
      <c r="J203" s="346"/>
      <c r="K203" s="347">
        <f>-KalkMITGrenzKoOptIst!L59</f>
        <v>1861</v>
      </c>
      <c r="L203" s="348" t="s">
        <v>41</v>
      </c>
      <c r="M203" s="261"/>
      <c r="N203" s="261"/>
      <c r="S203" s="261"/>
      <c r="T203" s="264"/>
    </row>
    <row r="204" spans="2:20" x14ac:dyDescent="0.25">
      <c r="B204" s="304"/>
      <c r="C204" s="304"/>
      <c r="D204" s="349" t="s">
        <v>92</v>
      </c>
      <c r="E204" s="349"/>
      <c r="F204" s="349"/>
      <c r="G204" s="349"/>
      <c r="H204" s="349"/>
      <c r="I204" s="350" t="s">
        <v>121</v>
      </c>
      <c r="J204" s="351"/>
      <c r="K204" s="352">
        <f>SUM(K200:K203)</f>
        <v>30421</v>
      </c>
      <c r="L204" s="353" t="s">
        <v>41</v>
      </c>
      <c r="M204" s="261"/>
      <c r="N204" s="261"/>
      <c r="S204" s="261"/>
      <c r="T204" s="264"/>
    </row>
    <row r="205" spans="2:20" x14ac:dyDescent="0.25">
      <c r="B205" s="304"/>
      <c r="C205" s="304"/>
      <c r="D205" s="354"/>
      <c r="E205" s="354"/>
      <c r="F205" s="354"/>
      <c r="G205" s="354"/>
      <c r="H205" s="354"/>
      <c r="I205" s="355"/>
      <c r="J205" s="356"/>
      <c r="K205" s="355"/>
      <c r="L205" s="356"/>
      <c r="M205" s="261"/>
      <c r="N205" s="261"/>
      <c r="S205" s="261"/>
      <c r="T205" s="264"/>
    </row>
    <row r="206" spans="2:20" ht="13" x14ac:dyDescent="0.3">
      <c r="B206" s="339" t="s">
        <v>74</v>
      </c>
      <c r="C206" s="339" t="s">
        <v>114</v>
      </c>
      <c r="D206" s="304"/>
      <c r="E206" s="304"/>
      <c r="F206" s="304"/>
      <c r="G206" s="304"/>
      <c r="H206" s="304"/>
      <c r="I206" s="357"/>
      <c r="J206" s="343"/>
      <c r="K206" s="357"/>
      <c r="L206" s="343"/>
      <c r="M206" s="261"/>
      <c r="N206" s="261"/>
      <c r="S206" s="261"/>
      <c r="T206" s="264"/>
    </row>
    <row r="207" spans="2:20" x14ac:dyDescent="0.25">
      <c r="B207" s="304"/>
      <c r="C207" s="304"/>
      <c r="D207" s="304" t="s">
        <v>115</v>
      </c>
      <c r="E207" s="304"/>
      <c r="F207" s="304"/>
      <c r="G207" s="304"/>
      <c r="H207" s="304"/>
      <c r="I207" s="357">
        <v>0</v>
      </c>
      <c r="J207" s="343" t="s">
        <v>41</v>
      </c>
      <c r="K207" s="357">
        <v>0</v>
      </c>
      <c r="L207" s="343" t="s">
        <v>41</v>
      </c>
      <c r="M207" s="261"/>
      <c r="N207" s="261"/>
      <c r="S207" s="261"/>
      <c r="T207" s="264"/>
    </row>
    <row r="208" spans="2:20" x14ac:dyDescent="0.25">
      <c r="B208" s="304"/>
      <c r="C208" s="304"/>
      <c r="D208" s="304" t="s">
        <v>116</v>
      </c>
      <c r="E208" s="304"/>
      <c r="F208" s="304"/>
      <c r="G208" s="304"/>
      <c r="H208" s="304"/>
      <c r="I208" s="357">
        <f>KalkMITGrenzKoOptIst!$H$30*KalkMITGrenzKoOptIst!$E$177*KalkMITGrenzKoOptIst!$J$177%</f>
        <v>300</v>
      </c>
      <c r="J208" s="343" t="s">
        <v>41</v>
      </c>
      <c r="K208" s="357">
        <f>ROUND((KalkMITGrenzKoOptIst!$H$57+KalkMITGrenzKoOptIst!$H$52)*KalkMITGrenzKoOptIst!$E$177*KalkMITGrenzKoOptIst!$J$177%,0)</f>
        <v>10953</v>
      </c>
      <c r="L208" s="343" t="s">
        <v>41</v>
      </c>
      <c r="M208" s="261"/>
      <c r="N208" s="261"/>
      <c r="S208" s="261"/>
      <c r="T208" s="264"/>
    </row>
    <row r="209" spans="2:20" x14ac:dyDescent="0.25">
      <c r="B209" s="304"/>
      <c r="C209" s="304"/>
      <c r="D209" s="318" t="s">
        <v>117</v>
      </c>
      <c r="E209" s="318"/>
      <c r="F209" s="318"/>
      <c r="G209" s="318"/>
      <c r="H209" s="318"/>
      <c r="I209" s="347">
        <f>-KalkMITGrenzKoOptIst!$L$32</f>
        <v>0</v>
      </c>
      <c r="J209" s="346" t="s">
        <v>41</v>
      </c>
      <c r="K209" s="347">
        <f>-KalkMITGrenzKoOptIst!L54</f>
        <v>12600</v>
      </c>
      <c r="L209" s="348" t="s">
        <v>41</v>
      </c>
      <c r="M209" s="261"/>
      <c r="N209" s="261"/>
      <c r="S209" s="261"/>
      <c r="T209" s="264"/>
    </row>
    <row r="210" spans="2:20" x14ac:dyDescent="0.25">
      <c r="B210" s="304"/>
      <c r="C210" s="304"/>
      <c r="D210" s="349" t="s">
        <v>92</v>
      </c>
      <c r="E210" s="349"/>
      <c r="F210" s="349"/>
      <c r="G210" s="349"/>
      <c r="H210" s="349"/>
      <c r="I210" s="352">
        <f>SUM(I207:I209)</f>
        <v>300</v>
      </c>
      <c r="J210" s="351" t="s">
        <v>41</v>
      </c>
      <c r="K210" s="352">
        <f>SUM(K207:K209)</f>
        <v>23553</v>
      </c>
      <c r="L210" s="353" t="s">
        <v>41</v>
      </c>
      <c r="M210" s="261"/>
      <c r="N210" s="261"/>
      <c r="S210" s="261"/>
      <c r="T210" s="264"/>
    </row>
    <row r="211" spans="2:20" x14ac:dyDescent="0.25">
      <c r="B211" s="304"/>
      <c r="C211" s="304"/>
      <c r="D211" s="354"/>
      <c r="E211" s="354"/>
      <c r="F211" s="354"/>
      <c r="G211" s="354"/>
      <c r="H211" s="354"/>
      <c r="I211" s="355"/>
      <c r="J211" s="356"/>
      <c r="K211" s="355"/>
      <c r="L211" s="356"/>
      <c r="M211" s="261"/>
      <c r="N211" s="261"/>
      <c r="S211" s="261"/>
      <c r="T211" s="264"/>
    </row>
    <row r="212" spans="2:20" ht="13" x14ac:dyDescent="0.3">
      <c r="B212" s="339" t="s">
        <v>75</v>
      </c>
      <c r="C212" s="339" t="s">
        <v>113</v>
      </c>
      <c r="D212" s="304"/>
      <c r="E212" s="304"/>
      <c r="F212" s="304"/>
      <c r="G212" s="304"/>
      <c r="H212" s="304"/>
      <c r="I212" s="357"/>
      <c r="J212" s="343"/>
      <c r="K212" s="357"/>
      <c r="L212" s="343"/>
      <c r="M212" s="261"/>
      <c r="N212" s="261"/>
      <c r="S212" s="261"/>
      <c r="T212" s="264"/>
    </row>
    <row r="213" spans="2:20" x14ac:dyDescent="0.25">
      <c r="B213" s="304"/>
      <c r="C213" s="304"/>
      <c r="D213" s="304" t="s">
        <v>118</v>
      </c>
      <c r="E213" s="304"/>
      <c r="F213" s="304"/>
      <c r="G213" s="304"/>
      <c r="H213" s="304"/>
      <c r="I213" s="314">
        <f>-KalkMITGrenzKoOptIst!$L$31</f>
        <v>1200</v>
      </c>
      <c r="J213" s="343" t="s">
        <v>41</v>
      </c>
      <c r="K213" s="314">
        <f>-KalkMITGrenzKoOptIst!$L$53</f>
        <v>23724</v>
      </c>
      <c r="L213" s="344" t="s">
        <v>41</v>
      </c>
      <c r="M213" s="261"/>
      <c r="N213" s="261"/>
      <c r="S213" s="261"/>
      <c r="T213" s="264"/>
    </row>
    <row r="214" spans="2:20" x14ac:dyDescent="0.25">
      <c r="B214" s="304"/>
      <c r="C214" s="304"/>
      <c r="D214" s="304" t="s">
        <v>119</v>
      </c>
      <c r="E214" s="304"/>
      <c r="F214" s="304"/>
      <c r="G214" s="304"/>
      <c r="H214" s="304"/>
      <c r="I214" s="357">
        <f>KalkMITGrenzKoOptIst!$H$30*KalkMITGrenzKoOptIst!$E$176*KalkMITGrenzKoOptIst!$J$176%</f>
        <v>200</v>
      </c>
      <c r="J214" s="343" t="s">
        <v>41</v>
      </c>
      <c r="K214" s="357">
        <f>ROUND((KalkMITGrenzKoOptIst!$H$57+KalkMITGrenzKoOptIst!$H$52)*KalkMITGrenzKoOptIst!$E$176*KalkMITGrenzKoOptIst!$J$176%,0)</f>
        <v>7302</v>
      </c>
      <c r="L214" s="343" t="s">
        <v>41</v>
      </c>
      <c r="M214" s="261"/>
      <c r="N214" s="261"/>
      <c r="S214" s="261"/>
      <c r="T214" s="264"/>
    </row>
    <row r="215" spans="2:20" x14ac:dyDescent="0.25">
      <c r="B215" s="304"/>
      <c r="C215" s="304"/>
      <c r="D215" s="318" t="s">
        <v>120</v>
      </c>
      <c r="E215" s="318"/>
      <c r="F215" s="318"/>
      <c r="G215" s="318"/>
      <c r="H215" s="318"/>
      <c r="I215" s="358">
        <v>0</v>
      </c>
      <c r="J215" s="346" t="s">
        <v>41</v>
      </c>
      <c r="K215" s="358">
        <v>0</v>
      </c>
      <c r="L215" s="346" t="s">
        <v>41</v>
      </c>
      <c r="M215" s="261"/>
      <c r="N215" s="261"/>
      <c r="S215" s="261"/>
      <c r="T215" s="264"/>
    </row>
    <row r="216" spans="2:20" x14ac:dyDescent="0.25">
      <c r="B216" s="304"/>
      <c r="C216" s="304"/>
      <c r="D216" s="349" t="s">
        <v>92</v>
      </c>
      <c r="E216" s="349"/>
      <c r="F216" s="349"/>
      <c r="G216" s="349"/>
      <c r="H216" s="349"/>
      <c r="I216" s="352">
        <f>SUM(I213:I215)</f>
        <v>1400</v>
      </c>
      <c r="J216" s="351" t="s">
        <v>41</v>
      </c>
      <c r="K216" s="352">
        <f>SUM(K213:K215)</f>
        <v>31026</v>
      </c>
      <c r="L216" s="353" t="s">
        <v>41</v>
      </c>
      <c r="M216" s="261"/>
      <c r="N216" s="261"/>
      <c r="S216" s="261"/>
      <c r="T216" s="264"/>
    </row>
    <row r="217" spans="2:20" x14ac:dyDescent="0.25">
      <c r="B217" s="304"/>
      <c r="C217" s="304"/>
      <c r="D217" s="354"/>
      <c r="E217" s="354"/>
      <c r="F217" s="354"/>
      <c r="G217" s="354"/>
      <c r="H217" s="354"/>
      <c r="I217" s="355"/>
      <c r="J217" s="356"/>
      <c r="K217" s="355"/>
      <c r="L217" s="356"/>
      <c r="M217" s="261"/>
      <c r="N217" s="261"/>
      <c r="S217" s="264"/>
      <c r="T217" s="264"/>
    </row>
    <row r="218" spans="2:20" ht="13" x14ac:dyDescent="0.3">
      <c r="B218" s="339" t="s">
        <v>167</v>
      </c>
      <c r="C218" s="339" t="s">
        <v>168</v>
      </c>
      <c r="D218" s="304"/>
      <c r="E218" s="304"/>
      <c r="F218" s="304"/>
      <c r="G218" s="304"/>
      <c r="H218" s="304"/>
      <c r="I218" s="357"/>
      <c r="J218" s="343"/>
      <c r="K218" s="357"/>
      <c r="L218" s="343"/>
      <c r="M218" s="261"/>
      <c r="N218" s="261"/>
      <c r="S218" s="264"/>
      <c r="T218" s="264"/>
    </row>
    <row r="219" spans="2:20" x14ac:dyDescent="0.25">
      <c r="B219" s="304"/>
      <c r="C219" s="304"/>
      <c r="D219" s="318" t="s">
        <v>169</v>
      </c>
      <c r="E219" s="318"/>
      <c r="F219" s="318"/>
      <c r="G219" s="318"/>
      <c r="H219" s="318"/>
      <c r="I219" s="358">
        <v>0</v>
      </c>
      <c r="J219" s="346" t="s">
        <v>41</v>
      </c>
      <c r="K219" s="347">
        <f>K187</f>
        <v>9000</v>
      </c>
      <c r="L219" s="346" t="s">
        <v>41</v>
      </c>
      <c r="M219" s="261"/>
      <c r="N219" s="261"/>
      <c r="S219" s="264"/>
      <c r="T219" s="264"/>
    </row>
    <row r="220" spans="2:20" x14ac:dyDescent="0.25">
      <c r="B220" s="304"/>
      <c r="C220" s="304"/>
      <c r="D220" s="349" t="s">
        <v>92</v>
      </c>
      <c r="E220" s="349"/>
      <c r="F220" s="349"/>
      <c r="G220" s="349"/>
      <c r="H220" s="349"/>
      <c r="I220" s="352">
        <f>SUM(I219:I219)</f>
        <v>0</v>
      </c>
      <c r="J220" s="351" t="s">
        <v>41</v>
      </c>
      <c r="K220" s="352">
        <f>SUM(K219:K219)</f>
        <v>9000</v>
      </c>
      <c r="L220" s="353" t="s">
        <v>41</v>
      </c>
      <c r="M220" s="261"/>
      <c r="N220" s="261"/>
      <c r="S220" s="264"/>
      <c r="T220" s="264"/>
    </row>
    <row r="221" spans="2:20" x14ac:dyDescent="0.25">
      <c r="B221" s="264"/>
      <c r="C221" s="264"/>
      <c r="D221" s="264"/>
      <c r="E221" s="264"/>
      <c r="F221" s="264"/>
      <c r="G221" s="264"/>
      <c r="H221" s="264"/>
      <c r="I221" s="264"/>
      <c r="J221" s="264"/>
      <c r="K221" s="264"/>
      <c r="L221" s="264"/>
      <c r="M221" s="264"/>
      <c r="N221" s="264"/>
      <c r="S221" s="264"/>
      <c r="T221" s="264"/>
    </row>
    <row r="222" spans="2:20" x14ac:dyDescent="0.25">
      <c r="B222" s="264"/>
      <c r="C222" s="264"/>
      <c r="D222" s="264"/>
      <c r="E222" s="264"/>
      <c r="F222" s="264"/>
      <c r="G222" s="264"/>
      <c r="H222" s="264"/>
      <c r="I222" s="264"/>
      <c r="J222" s="264"/>
      <c r="K222" s="264"/>
      <c r="L222" s="264"/>
      <c r="M222" s="264"/>
      <c r="N222" s="264"/>
      <c r="S222" s="264"/>
      <c r="T222" s="264"/>
    </row>
    <row r="223" spans="2:20" x14ac:dyDescent="0.25">
      <c r="B223" s="264"/>
      <c r="C223" s="264"/>
      <c r="D223" s="264"/>
      <c r="E223" s="264"/>
      <c r="F223" s="264"/>
      <c r="G223" s="264"/>
      <c r="H223" s="264"/>
      <c r="I223" s="264"/>
      <c r="J223" s="264"/>
      <c r="K223" s="264"/>
      <c r="L223" s="264"/>
      <c r="M223" s="264"/>
      <c r="N223" s="264"/>
      <c r="S223" s="264"/>
      <c r="T223" s="264"/>
    </row>
  </sheetData>
  <pageMargins left="0.78740157480314965" right="0.78740157480314965" top="0.39370078740157483" bottom="0.39370078740157483" header="0.51181102362204722" footer="0.19685039370078741"/>
  <pageSetup paperSize="9" scale="88" fitToHeight="0" orientation="portrait" horizontalDpi="1200" verticalDpi="1200" r:id="rId1"/>
  <headerFooter alignWithMargins="0"/>
  <rowBreaks count="1" manualBreakCount="1">
    <brk id="161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workbookViewId="0"/>
  </sheetViews>
  <sheetFormatPr baseColWidth="10" defaultColWidth="11.453125" defaultRowHeight="12.5" x14ac:dyDescent="0.25"/>
  <cols>
    <col min="1" max="1" width="1.453125" style="84" customWidth="1"/>
    <col min="2" max="2" width="9" style="84" customWidth="1"/>
    <col min="3" max="14" width="6" style="84" customWidth="1"/>
    <col min="15" max="16384" width="11.453125" style="84"/>
  </cols>
  <sheetData>
    <row r="1" spans="2:14" ht="13" x14ac:dyDescent="0.3">
      <c r="B1" s="86" t="s">
        <v>57</v>
      </c>
      <c r="E1" s="86"/>
      <c r="F1" s="86"/>
      <c r="G1" s="86"/>
      <c r="I1"/>
    </row>
    <row r="4" spans="2:14" x14ac:dyDescent="0.25">
      <c r="C4" s="84">
        <v>0</v>
      </c>
      <c r="D4" s="84">
        <f t="shared" ref="D4:N4" si="0">C4+1</f>
        <v>1</v>
      </c>
      <c r="E4" s="85">
        <f t="shared" si="0"/>
        <v>2</v>
      </c>
      <c r="F4" s="84">
        <f t="shared" si="0"/>
        <v>3</v>
      </c>
      <c r="G4" s="84">
        <f t="shared" si="0"/>
        <v>4</v>
      </c>
      <c r="H4" s="84">
        <f t="shared" si="0"/>
        <v>5</v>
      </c>
      <c r="I4" s="84">
        <f t="shared" si="0"/>
        <v>6</v>
      </c>
      <c r="J4" s="84">
        <f t="shared" si="0"/>
        <v>7</v>
      </c>
      <c r="K4" s="84">
        <f t="shared" si="0"/>
        <v>8</v>
      </c>
      <c r="L4" s="84">
        <f t="shared" si="0"/>
        <v>9</v>
      </c>
      <c r="M4" s="84">
        <f t="shared" si="0"/>
        <v>10</v>
      </c>
      <c r="N4" s="84">
        <f t="shared" si="0"/>
        <v>11</v>
      </c>
    </row>
    <row r="5" spans="2:14" x14ac:dyDescent="0.25">
      <c r="B5" s="84" t="s">
        <v>0</v>
      </c>
      <c r="C5" s="84">
        <v>100</v>
      </c>
      <c r="D5" s="84">
        <f>C5</f>
        <v>100</v>
      </c>
      <c r="E5" s="84">
        <f>D5</f>
        <v>100</v>
      </c>
      <c r="F5" s="84">
        <f>E5</f>
        <v>100</v>
      </c>
      <c r="G5" s="84">
        <f>F5</f>
        <v>100</v>
      </c>
      <c r="H5" s="84">
        <f>G5</f>
        <v>100</v>
      </c>
      <c r="I5"/>
      <c r="J5"/>
      <c r="K5"/>
      <c r="L5"/>
      <c r="M5"/>
      <c r="N5"/>
    </row>
    <row r="6" spans="2:14" x14ac:dyDescent="0.25">
      <c r="B6" s="84" t="s">
        <v>2</v>
      </c>
      <c r="C6" s="84">
        <v>100</v>
      </c>
      <c r="D6" s="84">
        <f>C6+5</f>
        <v>105</v>
      </c>
      <c r="E6" s="84">
        <f>D6+4</f>
        <v>109</v>
      </c>
      <c r="F6" s="84">
        <f>E6+3</f>
        <v>112</v>
      </c>
      <c r="G6" s="84">
        <f>F6</f>
        <v>112</v>
      </c>
      <c r="H6" s="84">
        <f>G6</f>
        <v>112</v>
      </c>
      <c r="I6"/>
      <c r="J6"/>
      <c r="K6"/>
      <c r="L6"/>
      <c r="M6"/>
      <c r="N6"/>
    </row>
    <row r="7" spans="2:14" x14ac:dyDescent="0.25">
      <c r="B7" s="87" t="s">
        <v>1</v>
      </c>
      <c r="C7" s="84">
        <v>100</v>
      </c>
      <c r="D7" s="84">
        <f>C7+6</f>
        <v>106</v>
      </c>
      <c r="E7" s="84">
        <f>D7+5</f>
        <v>111</v>
      </c>
      <c r="F7" s="84">
        <f>E7+3</f>
        <v>114</v>
      </c>
      <c r="G7" s="84">
        <f>F7+2</f>
        <v>116</v>
      </c>
      <c r="H7" s="84">
        <f>G7</f>
        <v>116</v>
      </c>
      <c r="I7"/>
      <c r="J7"/>
      <c r="K7"/>
      <c r="L7"/>
      <c r="M7"/>
      <c r="N7"/>
    </row>
    <row r="8" spans="2:14" x14ac:dyDescent="0.25">
      <c r="B8" s="84" t="s">
        <v>3</v>
      </c>
      <c r="C8" s="84">
        <v>100</v>
      </c>
      <c r="D8" s="84">
        <f>D7+D6-D5</f>
        <v>111</v>
      </c>
      <c r="E8" s="84">
        <f>E7+E6-E5</f>
        <v>120</v>
      </c>
      <c r="F8" s="84">
        <f>F7+F6-F5</f>
        <v>126</v>
      </c>
      <c r="G8" s="84">
        <f>G7+G6-G5</f>
        <v>128</v>
      </c>
      <c r="H8" s="84">
        <f>H7+H6-H5</f>
        <v>128</v>
      </c>
      <c r="I8"/>
      <c r="J8"/>
      <c r="K8"/>
      <c r="L8"/>
      <c r="M8"/>
      <c r="N8"/>
    </row>
    <row r="9" spans="2:14" x14ac:dyDescent="0.25">
      <c r="B9" s="84" t="s">
        <v>0</v>
      </c>
      <c r="H9" s="84">
        <f>H5</f>
        <v>100</v>
      </c>
      <c r="I9" s="84">
        <f>H5</f>
        <v>100</v>
      </c>
      <c r="J9" s="84">
        <f t="shared" ref="J9:N10" si="1">I9</f>
        <v>100</v>
      </c>
      <c r="K9" s="84">
        <f t="shared" si="1"/>
        <v>100</v>
      </c>
      <c r="L9" s="84">
        <f t="shared" si="1"/>
        <v>100</v>
      </c>
      <c r="M9" s="84">
        <f t="shared" si="1"/>
        <v>100</v>
      </c>
      <c r="N9" s="84">
        <f t="shared" si="1"/>
        <v>100</v>
      </c>
    </row>
    <row r="10" spans="2:14" x14ac:dyDescent="0.25">
      <c r="B10" s="84" t="s">
        <v>2</v>
      </c>
      <c r="H10" s="84">
        <f>H6</f>
        <v>112</v>
      </c>
      <c r="I10" s="84">
        <f>H6</f>
        <v>112</v>
      </c>
      <c r="J10" s="84">
        <f t="shared" si="1"/>
        <v>112</v>
      </c>
      <c r="K10" s="84">
        <f t="shared" si="1"/>
        <v>112</v>
      </c>
    </row>
    <row r="11" spans="2:14" x14ac:dyDescent="0.25">
      <c r="B11" s="87" t="s">
        <v>1</v>
      </c>
      <c r="H11" s="84">
        <f>H7</f>
        <v>116</v>
      </c>
      <c r="I11" s="84">
        <f t="shared" ref="I11:N12" si="2">H11</f>
        <v>116</v>
      </c>
      <c r="J11" s="84">
        <f t="shared" si="2"/>
        <v>116</v>
      </c>
      <c r="K11" s="84">
        <f t="shared" si="2"/>
        <v>116</v>
      </c>
      <c r="L11" s="84">
        <f t="shared" si="2"/>
        <v>116</v>
      </c>
      <c r="M11" s="84">
        <f t="shared" si="2"/>
        <v>116</v>
      </c>
      <c r="N11" s="84">
        <f t="shared" si="2"/>
        <v>116</v>
      </c>
    </row>
    <row r="12" spans="2:14" x14ac:dyDescent="0.25">
      <c r="B12" s="84" t="s">
        <v>3</v>
      </c>
      <c r="H12" s="84">
        <f>H8</f>
        <v>128</v>
      </c>
      <c r="I12" s="84">
        <f t="shared" si="2"/>
        <v>128</v>
      </c>
      <c r="J12" s="84">
        <f t="shared" si="2"/>
        <v>128</v>
      </c>
      <c r="K12" s="84">
        <f t="shared" si="2"/>
        <v>128</v>
      </c>
      <c r="L12" s="84">
        <f t="shared" si="2"/>
        <v>128</v>
      </c>
      <c r="M12" s="84">
        <f t="shared" si="2"/>
        <v>128</v>
      </c>
      <c r="N12" s="84">
        <f t="shared" si="2"/>
        <v>128</v>
      </c>
    </row>
    <row r="17" spans="1:21" ht="14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" x14ac:dyDescent="0.3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" x14ac:dyDescent="0.3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4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4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4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4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4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4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4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4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</sheetData>
  <phoneticPr fontId="15" type="noConversion"/>
  <pageMargins left="0.78740157480314998" right="0.78740157480314998" top="0.78740157480314998" bottom="0.78740157480314998" header="0.511811023622047" footer="0.511811023622047"/>
  <pageSetup paperSize="9" orientation="portrait" horizontalDpi="300" verticalDpi="300" r:id="rId1"/>
  <headerFooter alignWithMargins="0">
    <oddFooter>&amp;L&amp;8Vereinfachte Betriebsplanung (Programmplanung I)&amp;RM4 -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Beispielsformular</vt:lpstr>
      <vt:lpstr>KalkOHNEGrenzKoOptIst</vt:lpstr>
      <vt:lpstr>KalkMITGrenzKoOptIst</vt:lpstr>
      <vt:lpstr>OptInvest</vt:lpstr>
      <vt:lpstr>Beispielsformular!Druckbereich</vt:lpstr>
      <vt:lpstr>KalkMITGrenzKoOptIst!Druckbereich</vt:lpstr>
      <vt:lpstr>KalkOHNEGrenzKoOptIst!Druckbereich</vt:lpstr>
      <vt:lpstr>OptInvest!Druckbereich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Abt. Triesdorf</dc:creator>
  <cp:lastModifiedBy>Christian Schuh</cp:lastModifiedBy>
  <cp:lastPrinted>2020-04-23T08:38:52Z</cp:lastPrinted>
  <dcterms:created xsi:type="dcterms:W3CDTF">1998-02-27T09:12:43Z</dcterms:created>
  <dcterms:modified xsi:type="dcterms:W3CDTF">2020-04-24T07:59:28Z</dcterms:modified>
</cp:coreProperties>
</file>