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43MAR24\agric wat mgmt\material\"/>
    </mc:Choice>
  </mc:AlternateContent>
  <xr:revisionPtr revIDLastSave="0" documentId="13_ncr:1_{07A97BB0-4AF4-40F5-84F2-14C509123EC2}" xr6:coauthVersionLast="47" xr6:coauthVersionMax="47" xr10:uidLastSave="{00000000-0000-0000-0000-000000000000}"/>
  <bookViews>
    <workbookView xWindow="-108" yWindow="-108" windowWidth="23256" windowHeight="12456" xr2:uid="{E1DB9296-45CD-4EC6-A08B-6D99AC900DA4}"/>
  </bookViews>
  <sheets>
    <sheet name="drainage_system" sheetId="1" r:id="rId1"/>
    <sheet name="shape_channel" sheetId="3" r:id="rId2"/>
    <sheet name="material_channel" sheetId="2" r:id="rId3"/>
  </sheets>
  <definedNames>
    <definedName name="Asphalt">material_channel!$E$61:$E$65</definedName>
    <definedName name="Cement">material_channel!$E$26:$E$27</definedName>
    <definedName name="Channels_not_maintained">material_channel!$E$21:$E$24</definedName>
    <definedName name="coffee">#REF!</definedName>
    <definedName name="Concrete">material_channel!$E$35:$E$42</definedName>
    <definedName name="Concrete_bottom">material_channel!$E$44:$E$48</definedName>
    <definedName name="Dragline">material_channel!$E$15:$E$16</definedName>
    <definedName name="drinkstuff">#REF!</definedName>
    <definedName name="Earth_straight_uniform">material_channel!$E$3:$E$6</definedName>
    <definedName name="Earth_winding">material_channel!$E$8:$E$13</definedName>
    <definedName name="Excavated">material_channel!$A$2:$A$6</definedName>
    <definedName name="Excavated_Channels">material_channel!$A$2:$A$6</definedName>
    <definedName name="Gravel_bottom">material_channel!$E$50:$E$55</definedName>
    <definedName name="kind">material_channel!$A$1:$B$1</definedName>
    <definedName name="Lined_Channels">material_channel!$B$2:$B$8</definedName>
    <definedName name="Masonry">material_channel!$E$57:$E$59</definedName>
    <definedName name="Rock_cuts">material_channel!$E$18:$E$19</definedName>
    <definedName name="tea">#REF!</definedName>
    <definedName name="wine">#REF!</definedName>
    <definedName name="Wood">material_channel!$E$29:$E$33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1" l="1"/>
  <c r="C8" i="1"/>
  <c r="C13" i="3"/>
  <c r="C15" i="3"/>
  <c r="C14" i="3"/>
  <c r="C7" i="3"/>
  <c r="C14" i="1" l="1"/>
  <c r="C13" i="1"/>
  <c r="C12" i="1"/>
  <c r="C10" i="1"/>
  <c r="C26" i="1" s="1"/>
  <c r="E29" i="3"/>
  <c r="E28" i="3"/>
  <c r="E27" i="3"/>
  <c r="C16" i="1" l="1"/>
  <c r="C5" i="1"/>
  <c r="D28" i="3"/>
  <c r="C28" i="3"/>
  <c r="C20" i="3"/>
  <c r="D29" i="3" l="1"/>
  <c r="C22" i="3"/>
  <c r="C21" i="3" s="1"/>
  <c r="C23" i="3"/>
  <c r="B28" i="3"/>
  <c r="C27" i="3"/>
  <c r="C5" i="3"/>
  <c r="C8" i="3" l="1"/>
  <c r="C6" i="3" s="1"/>
  <c r="B27" i="3" s="1"/>
  <c r="C29" i="3"/>
  <c r="C3" i="1"/>
  <c r="B29" i="3"/>
  <c r="C7" i="1"/>
  <c r="D27" i="3" l="1"/>
  <c r="C4" i="1" s="1"/>
  <c r="C25" i="1" s="1"/>
  <c r="C2" i="1"/>
  <c r="C6" i="1" l="1"/>
  <c r="C9" i="1" s="1"/>
  <c r="C17" i="1" s="1"/>
  <c r="C19" i="1" s="1"/>
  <c r="C24" i="1" l="1"/>
  <c r="C20" i="1"/>
  <c r="C21" i="1" s="1"/>
  <c r="C22" i="1" s="1"/>
</calcChain>
</file>

<file path=xl/sharedStrings.xml><?xml version="1.0" encoding="utf-8"?>
<sst xmlns="http://schemas.openxmlformats.org/spreadsheetml/2006/main" count="254" uniqueCount="168">
  <si>
    <t>flow area</t>
  </si>
  <si>
    <t>wetted perimeter</t>
  </si>
  <si>
    <t>m2</t>
  </si>
  <si>
    <t>m</t>
  </si>
  <si>
    <t xml:space="preserve">hydraulic radius </t>
  </si>
  <si>
    <t>r</t>
  </si>
  <si>
    <t>A</t>
  </si>
  <si>
    <t>U</t>
  </si>
  <si>
    <t>flow velocity</t>
  </si>
  <si>
    <t>v</t>
  </si>
  <si>
    <t>n</t>
  </si>
  <si>
    <t>Flow</t>
  </si>
  <si>
    <t>Q</t>
  </si>
  <si>
    <t>clean, recently completed</t>
  </si>
  <si>
    <t>clean, after weathering</t>
  </si>
  <si>
    <t>gravel, uniform section, clean</t>
  </si>
  <si>
    <t>with short grass, few weeds</t>
  </si>
  <si>
    <t>http://www.fsl.orst.edu/geowater/FX3/help/8_Hydraulic_Reference/Mannings_n_Tables.htm</t>
  </si>
  <si>
    <t>no vegetation</t>
  </si>
  <si>
    <t>grass, some weeds</t>
  </si>
  <si>
    <t>dense weeds or aquatic plants in deep channels</t>
  </si>
  <si>
    <t>earth bottom and rubble sides</t>
  </si>
  <si>
    <t>stony bottom and weedy banks</t>
  </si>
  <si>
    <t>cobble bottom and clean sides</t>
  </si>
  <si>
    <t>light brush on banks</t>
  </si>
  <si>
    <t>smooth and uniform</t>
  </si>
  <si>
    <t>jagged and irregular</t>
  </si>
  <si>
    <t>dense weeds, high as flow depth</t>
  </si>
  <si>
    <t>clean bottom, brush on sides</t>
  </si>
  <si>
    <t>same as above, highest stage of flow</t>
  </si>
  <si>
    <t>dense brush, high stage</t>
  </si>
  <si>
    <t>Cement</t>
  </si>
  <si>
    <t>neat surface</t>
  </si>
  <si>
    <t>mortar</t>
  </si>
  <si>
    <t>Wood</t>
  </si>
  <si>
    <t>planed, untreated</t>
  </si>
  <si>
    <t>planed, creosoted</t>
  </si>
  <si>
    <t>unplaned</t>
  </si>
  <si>
    <t>plank with battens</t>
  </si>
  <si>
    <t>lined with roofing paper</t>
  </si>
  <si>
    <t>Concrete</t>
  </si>
  <si>
    <t>float finish</t>
  </si>
  <si>
    <t>finished, with gravel on bottom</t>
  </si>
  <si>
    <t>trowel finish</t>
  </si>
  <si>
    <t>unfinished</t>
  </si>
  <si>
    <t>gunite, good section</t>
  </si>
  <si>
    <t>gunite, wavy section</t>
  </si>
  <si>
    <t>on good excavated rock</t>
  </si>
  <si>
    <t>on irregular excavated rock</t>
  </si>
  <si>
    <t>Masonry</t>
  </si>
  <si>
    <t>cemented rubble</t>
  </si>
  <si>
    <t>dry rubble</t>
  </si>
  <si>
    <t>Dressed ashlar/stone paving</t>
  </si>
  <si>
    <t>Asphalt</t>
  </si>
  <si>
    <t>smooth</t>
  </si>
  <si>
    <t>rough</t>
  </si>
  <si>
    <t>Vegetal lining (minimal)</t>
  </si>
  <si>
    <t>Vegetal lining (maximal)</t>
  </si>
  <si>
    <t>Vegetal lining (average)</t>
  </si>
  <si>
    <t>Excavated_Channels</t>
  </si>
  <si>
    <t>Lined_Channels</t>
  </si>
  <si>
    <t>Earth_straight_uniform</t>
  </si>
  <si>
    <t>Earth_winding</t>
  </si>
  <si>
    <t>Dragline</t>
  </si>
  <si>
    <t>Rock_cuts</t>
  </si>
  <si>
    <t>Channels_not_maintained</t>
  </si>
  <si>
    <t>with sides of dressed stone in mortar</t>
  </si>
  <si>
    <t>with sides random stone in mortar</t>
  </si>
  <si>
    <t>with sides of cement rubble masonry, plastered</t>
  </si>
  <si>
    <t>with sides cement rubble masonry</t>
  </si>
  <si>
    <t>with sides dry rubble or riprap</t>
  </si>
  <si>
    <t>Concrete bottom</t>
  </si>
  <si>
    <t>Concrete_bottom</t>
  </si>
  <si>
    <t>Gravel_bottom</t>
  </si>
  <si>
    <t>with sides of formed concrete</t>
  </si>
  <si>
    <t>with sides of random stone mortar</t>
  </si>
  <si>
    <t>with sides of dry rubble or riprap</t>
  </si>
  <si>
    <t>with sides of Brick</t>
  </si>
  <si>
    <t>glazed sides</t>
  </si>
  <si>
    <t>with sides in cement mortar</t>
  </si>
  <si>
    <t>Kind of Channel</t>
  </si>
  <si>
    <t>General properties</t>
  </si>
  <si>
    <t>Specific properties</t>
  </si>
  <si>
    <t>Roughness coefficient</t>
  </si>
  <si>
    <t>Area of land</t>
  </si>
  <si>
    <t>Rainfall</t>
  </si>
  <si>
    <t>ha</t>
  </si>
  <si>
    <t>Top width</t>
  </si>
  <si>
    <t>Depth</t>
  </si>
  <si>
    <t>Bottom width</t>
  </si>
  <si>
    <t>Side wall length</t>
  </si>
  <si>
    <t>m/s</t>
  </si>
  <si>
    <t>https://www.lmnoeng.com/manning.php</t>
  </si>
  <si>
    <t>Channel dimensions (trapeze)</t>
  </si>
  <si>
    <t>Channel dimensions (round)</t>
  </si>
  <si>
    <r>
      <t>w</t>
    </r>
    <r>
      <rPr>
        <vertAlign val="subscript"/>
        <sz val="11"/>
        <color theme="1"/>
        <rFont val="Calibri"/>
        <family val="2"/>
        <scheme val="minor"/>
      </rPr>
      <t>a</t>
    </r>
  </si>
  <si>
    <r>
      <t>w</t>
    </r>
    <r>
      <rPr>
        <vertAlign val="subscript"/>
        <sz val="11"/>
        <color theme="1"/>
        <rFont val="Calibri"/>
        <family val="2"/>
        <scheme val="minor"/>
      </rPr>
      <t>t</t>
    </r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</si>
  <si>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/day</t>
    </r>
  </si>
  <si>
    <r>
      <t>l</t>
    </r>
    <r>
      <rPr>
        <vertAlign val="subscript"/>
        <sz val="11"/>
        <color theme="1"/>
        <rFont val="Calibri"/>
        <family val="2"/>
        <scheme val="minor"/>
      </rPr>
      <t>s</t>
    </r>
  </si>
  <si>
    <t>h</t>
  </si>
  <si>
    <r>
      <t>m</t>
    </r>
    <r>
      <rPr>
        <vertAlign val="superscript"/>
        <sz val="11"/>
        <color theme="8" tint="0.39994506668294322"/>
        <rFont val="Calibri"/>
        <family val="2"/>
        <scheme val="minor"/>
      </rPr>
      <t>2</t>
    </r>
  </si>
  <si>
    <t>depth (1/2 width)</t>
  </si>
  <si>
    <t>Select the channel properties</t>
  </si>
  <si>
    <t>Channel dimensions (rectangular)</t>
  </si>
  <si>
    <t>Trapeze canal (defined dimensions)</t>
  </si>
  <si>
    <t>Rectangular canal (defined dimensions)</t>
  </si>
  <si>
    <t>Round canal (defined dimensions)</t>
  </si>
  <si>
    <t>Geometry</t>
  </si>
  <si>
    <t>Topographic properties</t>
  </si>
  <si>
    <t>m a.s.l.</t>
  </si>
  <si>
    <t>m/m</t>
  </si>
  <si>
    <t>km</t>
  </si>
  <si>
    <r>
      <t>m</t>
    </r>
    <r>
      <rPr>
        <i/>
        <vertAlign val="superscript"/>
        <sz val="11"/>
        <color theme="1"/>
        <rFont val="Calibri"/>
        <family val="2"/>
        <scheme val="minor"/>
      </rPr>
      <t>2</t>
    </r>
  </si>
  <si>
    <r>
      <t>m</t>
    </r>
    <r>
      <rPr>
        <i/>
        <vertAlign val="superscript"/>
        <sz val="11"/>
        <color theme="1"/>
        <rFont val="Calibri"/>
        <family val="2"/>
        <scheme val="minor"/>
      </rPr>
      <t>3</t>
    </r>
    <r>
      <rPr>
        <i/>
        <sz val="11"/>
        <color theme="1"/>
        <rFont val="Calibri"/>
        <family val="2"/>
        <scheme val="minor"/>
      </rPr>
      <t>/s</t>
    </r>
  </si>
  <si>
    <t>Surrounding material</t>
  </si>
  <si>
    <t>Drained area properties</t>
  </si>
  <si>
    <t>Area of uncontrolled inflow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</si>
  <si>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/d</t>
    </r>
  </si>
  <si>
    <t>Canal inflow (irrigation)</t>
  </si>
  <si>
    <t>mm/d</t>
  </si>
  <si>
    <t>Water infiltration</t>
  </si>
  <si>
    <t>slope</t>
  </si>
  <si>
    <t>I</t>
  </si>
  <si>
    <t xml:space="preserve">Calculation parameters </t>
  </si>
  <si>
    <t>Total infiltration (irrigation)</t>
  </si>
  <si>
    <t>Water balance (inflow = +; outflow = -)</t>
  </si>
  <si>
    <t>Total water inflow (rain &amp; irrigation)</t>
  </si>
  <si>
    <t>Total drainage requirement</t>
  </si>
  <si>
    <t>Drainage capacity</t>
  </si>
  <si>
    <t>Soil class</t>
  </si>
  <si>
    <t>Clay</t>
  </si>
  <si>
    <t>Loamy clay</t>
  </si>
  <si>
    <t>Sandy clay</t>
  </si>
  <si>
    <t>Sand</t>
  </si>
  <si>
    <t>Cobbles</t>
  </si>
  <si>
    <t>min</t>
  </si>
  <si>
    <t>max</t>
  </si>
  <si>
    <t>Leaching, s, (m/d)</t>
  </si>
  <si>
    <t>Leaching</t>
  </si>
  <si>
    <t>s</t>
  </si>
  <si>
    <t>m/d</t>
  </si>
  <si>
    <t>Drainage canal discharge</t>
  </si>
  <si>
    <t>Seepage</t>
  </si>
  <si>
    <t>Drainage canal length</t>
  </si>
  <si>
    <t>Altitude drainage inlet</t>
  </si>
  <si>
    <t>Altitude drainage outlet</t>
  </si>
  <si>
    <t>seepage</t>
  </si>
  <si>
    <t>Water table after drainage</t>
  </si>
  <si>
    <t>mm</t>
  </si>
  <si>
    <t>Flooded (initial before drainage)</t>
  </si>
  <si>
    <t>Total water on the field (flooded)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</si>
  <si>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</si>
  <si>
    <t>Total volume drained</t>
  </si>
  <si>
    <t>Water not drained</t>
  </si>
  <si>
    <t>Water table rise (irrigated area)</t>
  </si>
  <si>
    <t>Evaporation in the canal</t>
  </si>
  <si>
    <t>Canal width</t>
  </si>
  <si>
    <t>w</t>
  </si>
  <si>
    <t>data source</t>
  </si>
  <si>
    <t>select</t>
  </si>
  <si>
    <t>select (parameters in shape_channel)</t>
  </si>
  <si>
    <t>scenario data</t>
  </si>
  <si>
    <t>scenario data (select)</t>
  </si>
  <si>
    <t>Output data of irrigation canal calculation</t>
  </si>
  <si>
    <t>Output data of CWR calculation</t>
  </si>
  <si>
    <t>Output data of irrigation calculation</t>
  </si>
  <si>
    <r>
      <t>ET</t>
    </r>
    <r>
      <rPr>
        <vertAlign val="subscript"/>
        <sz val="11"/>
        <color theme="1"/>
        <rFont val="Calibri"/>
        <family val="2"/>
        <scheme val="minor"/>
      </rPr>
      <t>0</t>
    </r>
  </si>
  <si>
    <t>Evaporation on the field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</si>
</sst>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#,##0;[Red]#,##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8" tint="0.39997558519241921"/>
      <name val="Calibri"/>
      <family val="2"/>
      <scheme val="minor"/>
    </font>
    <font>
      <vertAlign val="superscript"/>
      <sz val="11"/>
      <color theme="8" tint="0.39994506668294322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vertAlign val="superscript"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164" fontId="0" fillId="0" borderId="0" xfId="0" applyNumberFormat="1"/>
    <xf numFmtId="2" fontId="0" fillId="0" borderId="0" xfId="0" applyNumberFormat="1"/>
    <xf numFmtId="0" fontId="2" fillId="0" borderId="0" xfId="1"/>
    <xf numFmtId="0" fontId="0" fillId="2" borderId="0" xfId="0" applyFill="1"/>
    <xf numFmtId="2" fontId="0" fillId="2" borderId="0" xfId="0" applyNumberFormat="1" applyFill="1"/>
    <xf numFmtId="0" fontId="5" fillId="0" borderId="0" xfId="0" applyFont="1"/>
    <xf numFmtId="2" fontId="5" fillId="0" borderId="0" xfId="0" applyNumberFormat="1" applyFont="1"/>
    <xf numFmtId="0" fontId="6" fillId="0" borderId="0" xfId="0" applyFont="1"/>
    <xf numFmtId="2" fontId="6" fillId="0" borderId="0" xfId="0" applyNumberFormat="1" applyFont="1"/>
    <xf numFmtId="0" fontId="1" fillId="3" borderId="0" xfId="0" applyFont="1" applyFill="1"/>
    <xf numFmtId="166" fontId="0" fillId="0" borderId="0" xfId="0" applyNumberFormat="1"/>
    <xf numFmtId="164" fontId="0" fillId="0" borderId="0" xfId="0" applyNumberFormat="1" applyAlignment="1">
      <alignment horizontal="center"/>
    </xf>
    <xf numFmtId="0" fontId="1" fillId="3" borderId="1" xfId="0" applyFont="1" applyFill="1" applyBorder="1"/>
    <xf numFmtId="164" fontId="1" fillId="3" borderId="1" xfId="0" applyNumberFormat="1" applyFont="1" applyFill="1" applyBorder="1" applyAlignment="1">
      <alignment horizontal="center"/>
    </xf>
    <xf numFmtId="0" fontId="1" fillId="3" borderId="2" xfId="0" applyFont="1" applyFill="1" applyBorder="1"/>
    <xf numFmtId="0" fontId="0" fillId="0" borderId="1" xfId="0" applyBorder="1"/>
    <xf numFmtId="164" fontId="0" fillId="0" borderId="1" xfId="0" applyNumberFormat="1" applyBorder="1" applyAlignment="1">
      <alignment horizontal="center"/>
    </xf>
    <xf numFmtId="0" fontId="0" fillId="2" borderId="0" xfId="0" applyFill="1" applyAlignment="1">
      <alignment horizontal="right" vertical="center"/>
    </xf>
    <xf numFmtId="0" fontId="0" fillId="0" borderId="0" xfId="0" applyAlignment="1">
      <alignment horizontal="right" vertical="center"/>
    </xf>
    <xf numFmtId="3" fontId="0" fillId="0" borderId="0" xfId="0" applyNumberFormat="1"/>
    <xf numFmtId="0" fontId="8" fillId="0" borderId="0" xfId="0" applyFont="1"/>
    <xf numFmtId="0" fontId="1" fillId="3" borderId="2" xfId="0" applyFont="1" applyFill="1" applyBorder="1" applyAlignment="1">
      <alignment horizontal="center"/>
    </xf>
    <xf numFmtId="0" fontId="8" fillId="4" borderId="0" xfId="0" applyFont="1" applyFill="1"/>
    <xf numFmtId="2" fontId="8" fillId="4" borderId="0" xfId="0" applyNumberFormat="1" applyFont="1" applyFill="1"/>
    <xf numFmtId="164" fontId="8" fillId="4" borderId="0" xfId="0" applyNumberFormat="1" applyFont="1" applyFill="1"/>
    <xf numFmtId="165" fontId="8" fillId="4" borderId="0" xfId="0" applyNumberFormat="1" applyFon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199573</xdr:colOff>
      <xdr:row>3</xdr:row>
      <xdr:rowOff>108858</xdr:rowOff>
    </xdr:from>
    <xdr:to>
      <xdr:col>12</xdr:col>
      <xdr:colOff>480785</xdr:colOff>
      <xdr:row>10</xdr:row>
      <xdr:rowOff>154215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Object 7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SpPr txBox="1"/>
          </xdr:nvSpPr>
          <xdr:spPr bwMode="auto">
            <a:xfrm>
              <a:off x="13353144" y="680358"/>
              <a:ext cx="2104570" cy="1342571"/>
            </a:xfrm>
            <a:prstGeom prst="rect">
              <a:avLst/>
            </a:prstGeom>
            <a:solidFill>
              <a:schemeClr val="bg1"/>
            </a:solidFill>
            <a:ln>
              <a:solidFill>
                <a:sysClr val="windowText" lastClr="000000"/>
              </a:solidFill>
            </a:ln>
          </xdr:spPr>
          <xdr:txBody>
            <a:bodyPr wrap="square">
              <a:noAutofit/>
            </a:bodyPr>
            <a:lstStyle>
              <a:defPPr>
                <a:defRPr lang="en-US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9pPr>
            </a:lstStyle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DE" sz="2800" i="1">
                        <a:solidFill>
                          <a:srgbClr val="000000"/>
                        </a:solidFill>
                        <a:latin typeface="Cambria Math" panose="02040503050406030204" pitchFamily="18" charset="0"/>
                      </a:rPr>
                      <m:t>𝑣</m:t>
                    </m:r>
                    <m:r>
                      <a:rPr lang="en-DE" sz="2800" i="1">
                        <a:solidFill>
                          <a:srgbClr val="000000"/>
                        </a:solidFill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DE" sz="2800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sSup>
                          <m:sSupPr>
                            <m:ctrlPr>
                              <a:rPr lang="en-DE" sz="2800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en-DE" sz="2800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  <m:t>𝑟</m:t>
                            </m:r>
                          </m:e>
                          <m:sup>
                            <m:f>
                              <m:fPr>
                                <m:ctrlPr>
                                  <a:rPr lang="en-DE" sz="2800" i="1">
                                    <a:solidFill>
                                      <a:srgbClr val="000000"/>
                                    </a:solidFill>
                                    <a:latin typeface="Cambria Math" panose="02040503050406030204" pitchFamily="18" charset="0"/>
                                  </a:rPr>
                                </m:ctrlPr>
                              </m:fPr>
                              <m:num>
                                <m:r>
                                  <a:rPr lang="en-DE" sz="2800" i="1">
                                    <a:solidFill>
                                      <a:srgbClr val="000000"/>
                                    </a:solidFill>
                                    <a:latin typeface="Cambria Math" panose="02040503050406030204" pitchFamily="18" charset="0"/>
                                  </a:rPr>
                                  <m:t>2</m:t>
                                </m:r>
                              </m:num>
                              <m:den>
                                <m:r>
                                  <a:rPr lang="en-DE" sz="2800" i="1">
                                    <a:solidFill>
                                      <a:srgbClr val="000000"/>
                                    </a:solidFill>
                                    <a:latin typeface="Cambria Math" panose="02040503050406030204" pitchFamily="18" charset="0"/>
                                  </a:rPr>
                                  <m:t>3</m:t>
                                </m:r>
                              </m:den>
                            </m:f>
                          </m:sup>
                        </m:sSup>
                        <m:r>
                          <a:rPr lang="en-DE" sz="2800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⋅</m:t>
                        </m:r>
                        <m:sSup>
                          <m:sSupPr>
                            <m:ctrlPr>
                              <a:rPr lang="en-DE" sz="2800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en-DE" sz="2800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  <m:t>𝐼</m:t>
                            </m:r>
                          </m:e>
                          <m:sup>
                            <m:f>
                              <m:fPr>
                                <m:ctrlPr>
                                  <a:rPr lang="en-DE" sz="2800" i="1">
                                    <a:solidFill>
                                      <a:srgbClr val="000000"/>
                                    </a:solidFill>
                                    <a:latin typeface="Cambria Math" panose="02040503050406030204" pitchFamily="18" charset="0"/>
                                  </a:rPr>
                                </m:ctrlPr>
                              </m:fPr>
                              <m:num>
                                <m:r>
                                  <a:rPr lang="en-DE" sz="2800" i="1">
                                    <a:solidFill>
                                      <a:srgbClr val="000000"/>
                                    </a:solidFill>
                                    <a:latin typeface="Cambria Math" panose="02040503050406030204" pitchFamily="18" charset="0"/>
                                  </a:rPr>
                                  <m:t>1</m:t>
                                </m:r>
                              </m:num>
                              <m:den>
                                <m:r>
                                  <a:rPr lang="en-DE" sz="2800" i="1">
                                    <a:solidFill>
                                      <a:srgbClr val="000000"/>
                                    </a:solidFill>
                                    <a:latin typeface="Cambria Math" panose="02040503050406030204" pitchFamily="18" charset="0"/>
                                  </a:rPr>
                                  <m:t>2</m:t>
                                </m:r>
                              </m:den>
                            </m:f>
                          </m:sup>
                        </m:sSup>
                      </m:num>
                      <m:den>
                        <m:r>
                          <a:rPr lang="en-DE" sz="2800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𝑛</m:t>
                        </m:r>
                      </m:den>
                    </m:f>
                  </m:oMath>
                </m:oMathPara>
              </a14:m>
              <a:endParaRPr lang="en-DE" sz="2800"/>
            </a:p>
          </xdr:txBody>
        </xdr:sp>
      </mc:Choice>
      <mc:Fallback xmlns="">
        <xdr:sp macro="" textlink="">
          <xdr:nvSpPr>
            <xdr:cNvPr id="2" name="Object 7">
              <a:extLst>
                <a:ext uri="{FF2B5EF4-FFF2-40B4-BE49-F238E27FC236}">
                  <a16:creationId xmlns:a16="http://schemas.microsoft.com/office/drawing/2014/main" id="{83146C0A-6AAF-42E6-BA2B-A98233BAFB7F}"/>
                </a:ext>
              </a:extLst>
            </xdr:cNvPr>
            <xdr:cNvSpPr txBox="1"/>
          </xdr:nvSpPr>
          <xdr:spPr bwMode="auto">
            <a:xfrm>
              <a:off x="13353144" y="680358"/>
              <a:ext cx="2104570" cy="1342571"/>
            </a:xfrm>
            <a:prstGeom prst="rect">
              <a:avLst/>
            </a:prstGeom>
            <a:solidFill>
              <a:schemeClr val="bg1"/>
            </a:solidFill>
            <a:ln>
              <a:solidFill>
                <a:sysClr val="windowText" lastClr="000000"/>
              </a:solidFill>
            </a:ln>
          </xdr:spPr>
          <xdr:txBody>
            <a:bodyPr wrap="square">
              <a:noAutofit/>
            </a:bodyPr>
            <a:lstStyle>
              <a:defPPr>
                <a:defRPr lang="en-US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9pPr>
            </a:lstStyle>
            <a:p>
              <a:pPr/>
              <a:r>
                <a:rPr lang="en-DE" sz="2800" i="0">
                  <a:solidFill>
                    <a:srgbClr val="000000"/>
                  </a:solidFill>
                  <a:latin typeface="Cambria Math" panose="02040503050406030204" pitchFamily="18" charset="0"/>
                </a:rPr>
                <a:t>𝑣=(𝑟^(2/3)⋅𝐼^(1/2))/𝑛</a:t>
              </a:r>
              <a:endParaRPr lang="en-DE" sz="2800"/>
            </a:p>
          </xdr:txBody>
        </xdr:sp>
      </mc:Fallback>
    </mc:AlternateContent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236220</xdr:colOff>
          <xdr:row>14</xdr:row>
          <xdr:rowOff>91440</xdr:rowOff>
        </xdr:from>
        <xdr:to>
          <xdr:col>13</xdr:col>
          <xdr:colOff>175260</xdr:colOff>
          <xdr:row>18</xdr:row>
          <xdr:rowOff>60960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127000</xdr:colOff>
      <xdr:row>0</xdr:row>
      <xdr:rowOff>63500</xdr:rowOff>
    </xdr:from>
    <xdr:to>
      <xdr:col>9</xdr:col>
      <xdr:colOff>177800</xdr:colOff>
      <xdr:row>8</xdr:row>
      <xdr:rowOff>115306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6450" y="63500"/>
          <a:ext cx="2489200" cy="16266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95250</xdr:colOff>
      <xdr:row>15</xdr:row>
      <xdr:rowOff>144682</xdr:rowOff>
    </xdr:from>
    <xdr:to>
      <xdr:col>8</xdr:col>
      <xdr:colOff>520700</xdr:colOff>
      <xdr:row>24</xdr:row>
      <xdr:rowOff>15799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1250" y="3059332"/>
          <a:ext cx="2254250" cy="15284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596900</xdr:colOff>
      <xdr:row>9</xdr:row>
      <xdr:rowOff>124167</xdr:rowOff>
    </xdr:from>
    <xdr:to>
      <xdr:col>9</xdr:col>
      <xdr:colOff>298450</xdr:colOff>
      <xdr:row>14</xdr:row>
      <xdr:rowOff>101173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3300" y="1883117"/>
          <a:ext cx="2749550" cy="9485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373380</xdr:colOff>
          <xdr:row>7</xdr:row>
          <xdr:rowOff>60960</xdr:rowOff>
        </xdr:from>
        <xdr:to>
          <xdr:col>13</xdr:col>
          <xdr:colOff>510540</xdr:colOff>
          <xdr:row>14</xdr:row>
          <xdr:rowOff>129540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lmnoeng.com/manning.php" TargetMode="External"/><Relationship Id="rId6" Type="http://schemas.openxmlformats.org/officeDocument/2006/relationships/image" Target="../media/image1.emf"/><Relationship Id="rId5" Type="http://schemas.openxmlformats.org/officeDocument/2006/relationships/oleObject" Target="../embeddings/oleObject1.bin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FCAAE-1EA8-485B-912A-2922C8E1E051}">
  <dimension ref="A1:I28"/>
  <sheetViews>
    <sheetView tabSelected="1" zoomScale="90" zoomScaleNormal="90" workbookViewId="0">
      <selection activeCell="D28" sqref="D28"/>
    </sheetView>
  </sheetViews>
  <sheetFormatPr defaultRowHeight="14.4" x14ac:dyDescent="0.3"/>
  <cols>
    <col min="1" max="1" width="37" customWidth="1"/>
    <col min="2" max="2" width="4.6640625" customWidth="1"/>
    <col min="3" max="3" width="10.77734375" customWidth="1"/>
    <col min="6" max="6" width="29.33203125" customWidth="1"/>
    <col min="7" max="7" width="43.44140625" customWidth="1"/>
    <col min="8" max="8" width="10.44140625" customWidth="1"/>
    <col min="9" max="9" width="35.109375" customWidth="1"/>
  </cols>
  <sheetData>
    <row r="1" spans="1:9" x14ac:dyDescent="0.3">
      <c r="A1" s="11" t="s">
        <v>123</v>
      </c>
      <c r="B1" s="11"/>
      <c r="C1" s="11"/>
      <c r="D1" s="11"/>
      <c r="F1" s="11" t="s">
        <v>102</v>
      </c>
      <c r="G1" s="11"/>
      <c r="I1" s="11" t="s">
        <v>158</v>
      </c>
    </row>
    <row r="2" spans="1:9" x14ac:dyDescent="0.3">
      <c r="A2" s="24" t="s">
        <v>4</v>
      </c>
      <c r="B2" s="24" t="s">
        <v>5</v>
      </c>
      <c r="C2" s="25">
        <f>VLOOKUP(G6,shape_channel!A27:D29,2,FALSE)</f>
        <v>0.3106601717798213</v>
      </c>
      <c r="D2" s="24" t="s">
        <v>3</v>
      </c>
      <c r="F2" s="1" t="s">
        <v>80</v>
      </c>
      <c r="G2" s="19" t="s">
        <v>59</v>
      </c>
      <c r="I2" s="22" t="s">
        <v>159</v>
      </c>
    </row>
    <row r="3" spans="1:9" ht="16.2" x14ac:dyDescent="0.3">
      <c r="A3" s="24" t="s">
        <v>0</v>
      </c>
      <c r="B3" s="24" t="s">
        <v>6</v>
      </c>
      <c r="C3" s="25">
        <f>VLOOKUP(G6,shape_channel!A27:D29,3,FALSE)</f>
        <v>0.75</v>
      </c>
      <c r="D3" s="24" t="s">
        <v>112</v>
      </c>
      <c r="F3" s="1" t="s">
        <v>81</v>
      </c>
      <c r="G3" s="19" t="s">
        <v>62</v>
      </c>
      <c r="I3" s="22" t="s">
        <v>159</v>
      </c>
    </row>
    <row r="4" spans="1:9" x14ac:dyDescent="0.3">
      <c r="A4" s="24" t="s">
        <v>1</v>
      </c>
      <c r="B4" s="24" t="s">
        <v>7</v>
      </c>
      <c r="C4" s="25">
        <f>VLOOKUP(G6,shape_channel!A27:D29,4,FALSE)</f>
        <v>2.4142135623730949</v>
      </c>
      <c r="D4" s="24" t="s">
        <v>3</v>
      </c>
      <c r="F4" s="1" t="s">
        <v>82</v>
      </c>
      <c r="G4" s="19" t="s">
        <v>18</v>
      </c>
      <c r="I4" s="22" t="s">
        <v>159</v>
      </c>
    </row>
    <row r="5" spans="1:9" x14ac:dyDescent="0.3">
      <c r="A5" s="24" t="s">
        <v>121</v>
      </c>
      <c r="B5" s="24" t="s">
        <v>122</v>
      </c>
      <c r="C5" s="26">
        <f>(G11-G12)/(G10*1000)</f>
        <v>6.9999999999999999E-4</v>
      </c>
      <c r="D5" s="24" t="s">
        <v>110</v>
      </c>
      <c r="G5" s="20"/>
      <c r="I5" s="22"/>
    </row>
    <row r="6" spans="1:9" x14ac:dyDescent="0.3">
      <c r="A6" s="24" t="s">
        <v>8</v>
      </c>
      <c r="B6" s="24" t="s">
        <v>9</v>
      </c>
      <c r="C6" s="25">
        <f>(POWER(C2,(2/3))*POWER(C5,1/2))/C7</f>
        <v>0.48543683777060598</v>
      </c>
      <c r="D6" s="24" t="s">
        <v>91</v>
      </c>
      <c r="F6" s="1" t="s">
        <v>107</v>
      </c>
      <c r="G6" s="19" t="s">
        <v>104</v>
      </c>
      <c r="I6" s="22" t="s">
        <v>160</v>
      </c>
    </row>
    <row r="7" spans="1:9" x14ac:dyDescent="0.3">
      <c r="A7" s="24" t="s">
        <v>83</v>
      </c>
      <c r="B7" s="24" t="s">
        <v>10</v>
      </c>
      <c r="C7" s="24">
        <f>VLOOKUP(G4,material_channel!E3:F65,2,FALSE)</f>
        <v>2.5000000000000001E-2</v>
      </c>
      <c r="D7" s="24"/>
    </row>
    <row r="8" spans="1:9" x14ac:dyDescent="0.3">
      <c r="A8" s="24" t="s">
        <v>138</v>
      </c>
      <c r="B8" s="24" t="s">
        <v>139</v>
      </c>
      <c r="C8" s="24">
        <f>VLOOKUP(G13,material_channel!A14:B18,2,FALSE)</f>
        <v>0.15</v>
      </c>
      <c r="D8" s="24" t="s">
        <v>140</v>
      </c>
    </row>
    <row r="9" spans="1:9" ht="16.2" x14ac:dyDescent="0.3">
      <c r="A9" s="24" t="s">
        <v>11</v>
      </c>
      <c r="B9" s="24" t="s">
        <v>12</v>
      </c>
      <c r="C9" s="27">
        <f>C3*C6</f>
        <v>0.36407762832795448</v>
      </c>
      <c r="D9" s="24" t="s">
        <v>113</v>
      </c>
      <c r="F9" s="11" t="s">
        <v>108</v>
      </c>
      <c r="G9" s="11"/>
    </row>
    <row r="10" spans="1:9" x14ac:dyDescent="0.3">
      <c r="A10" s="24" t="s">
        <v>156</v>
      </c>
      <c r="B10" s="24" t="s">
        <v>157</v>
      </c>
      <c r="C10" s="27">
        <f>VLOOKUP(G6,shape_channel!A27:E29,5,FALSE)</f>
        <v>2</v>
      </c>
      <c r="D10" s="24" t="s">
        <v>3</v>
      </c>
      <c r="F10" s="1" t="s">
        <v>143</v>
      </c>
      <c r="G10" s="5">
        <v>10</v>
      </c>
      <c r="H10" t="s">
        <v>111</v>
      </c>
      <c r="I10" s="22" t="s">
        <v>161</v>
      </c>
    </row>
    <row r="11" spans="1:9" x14ac:dyDescent="0.3">
      <c r="A11" s="11" t="s">
        <v>125</v>
      </c>
      <c r="B11" s="11"/>
      <c r="C11" s="11"/>
      <c r="D11" s="11"/>
      <c r="F11" s="1" t="s">
        <v>144</v>
      </c>
      <c r="G11" s="5">
        <v>407</v>
      </c>
      <c r="H11" t="s">
        <v>109</v>
      </c>
      <c r="I11" s="22" t="s">
        <v>161</v>
      </c>
    </row>
    <row r="12" spans="1:9" ht="16.2" x14ac:dyDescent="0.3">
      <c r="A12" t="s">
        <v>150</v>
      </c>
      <c r="C12" s="21">
        <f>G16*G22*10</f>
        <v>0</v>
      </c>
      <c r="D12" t="s">
        <v>151</v>
      </c>
      <c r="F12" s="1" t="s">
        <v>145</v>
      </c>
      <c r="G12" s="5">
        <v>400</v>
      </c>
      <c r="H12" t="s">
        <v>109</v>
      </c>
      <c r="I12" s="22" t="s">
        <v>161</v>
      </c>
    </row>
    <row r="13" spans="1:9" ht="16.2" x14ac:dyDescent="0.3">
      <c r="A13" t="s">
        <v>126</v>
      </c>
      <c r="C13" s="21">
        <f>G16*G20*10+G17*G20*10+G18</f>
        <v>1500</v>
      </c>
      <c r="D13" t="s">
        <v>97</v>
      </c>
      <c r="F13" t="s">
        <v>114</v>
      </c>
      <c r="G13" s="19" t="s">
        <v>131</v>
      </c>
      <c r="I13" s="22" t="s">
        <v>162</v>
      </c>
    </row>
    <row r="14" spans="1:9" ht="16.2" x14ac:dyDescent="0.3">
      <c r="A14" t="s">
        <v>124</v>
      </c>
      <c r="C14" s="21">
        <f>-1*G21*G16*10</f>
        <v>-1500</v>
      </c>
      <c r="D14" t="s">
        <v>97</v>
      </c>
    </row>
    <row r="15" spans="1:9" ht="16.2" x14ac:dyDescent="0.3">
      <c r="A15" t="s">
        <v>167</v>
      </c>
      <c r="C15" s="21">
        <f>-1*(IF(G22&gt;0,((G19*1.2)/1000)*(G16*10000),0))</f>
        <v>0</v>
      </c>
      <c r="D15" t="s">
        <v>97</v>
      </c>
      <c r="F15" s="11" t="s">
        <v>115</v>
      </c>
      <c r="G15" s="11"/>
    </row>
    <row r="16" spans="1:9" ht="16.2" x14ac:dyDescent="0.3">
      <c r="A16" t="s">
        <v>127</v>
      </c>
      <c r="C16" s="21">
        <f>SUM(C13:C15)+C12</f>
        <v>0</v>
      </c>
      <c r="D16" t="s">
        <v>97</v>
      </c>
      <c r="F16" t="s">
        <v>84</v>
      </c>
      <c r="G16" s="5">
        <v>30</v>
      </c>
      <c r="H16" t="s">
        <v>86</v>
      </c>
      <c r="I16" s="22" t="s">
        <v>161</v>
      </c>
    </row>
    <row r="17" spans="1:9" ht="16.2" x14ac:dyDescent="0.3">
      <c r="A17" t="s">
        <v>128</v>
      </c>
      <c r="C17" s="21">
        <f>C9*86400</f>
        <v>31456.307087535268</v>
      </c>
      <c r="D17" t="s">
        <v>97</v>
      </c>
      <c r="F17" t="s">
        <v>116</v>
      </c>
      <c r="G17" s="5">
        <v>0</v>
      </c>
      <c r="H17" t="s">
        <v>86</v>
      </c>
      <c r="I17" s="22" t="s">
        <v>161</v>
      </c>
    </row>
    <row r="18" spans="1:9" ht="16.2" x14ac:dyDescent="0.3">
      <c r="C18" s="21"/>
      <c r="F18" t="s">
        <v>118</v>
      </c>
      <c r="G18" s="5">
        <v>1500</v>
      </c>
      <c r="H18" t="s">
        <v>117</v>
      </c>
      <c r="I18" s="22" t="s">
        <v>163</v>
      </c>
    </row>
    <row r="19" spans="1:9" ht="16.8" x14ac:dyDescent="0.35">
      <c r="A19" t="s">
        <v>152</v>
      </c>
      <c r="C19" s="21">
        <f>IF(C17&gt;C16,C16,C17)</f>
        <v>0</v>
      </c>
      <c r="D19" t="s">
        <v>97</v>
      </c>
      <c r="F19" t="s">
        <v>166</v>
      </c>
      <c r="G19" s="5">
        <v>4</v>
      </c>
      <c r="H19" t="s">
        <v>119</v>
      </c>
      <c r="I19" s="22" t="s">
        <v>164</v>
      </c>
    </row>
    <row r="20" spans="1:9" ht="16.2" x14ac:dyDescent="0.3">
      <c r="A20" t="s">
        <v>153</v>
      </c>
      <c r="C20" s="21">
        <f>C16-C19</f>
        <v>0</v>
      </c>
      <c r="D20" t="s">
        <v>151</v>
      </c>
      <c r="F20" t="s">
        <v>85</v>
      </c>
      <c r="G20" s="5">
        <v>0</v>
      </c>
      <c r="H20" t="s">
        <v>119</v>
      </c>
      <c r="I20" s="22" t="s">
        <v>161</v>
      </c>
    </row>
    <row r="21" spans="1:9" x14ac:dyDescent="0.3">
      <c r="A21" t="s">
        <v>147</v>
      </c>
      <c r="C21" s="21">
        <f>(C20/(G16*10000))*1000</f>
        <v>0</v>
      </c>
      <c r="D21" t="s">
        <v>148</v>
      </c>
      <c r="F21" t="s">
        <v>120</v>
      </c>
      <c r="G21" s="5">
        <v>5</v>
      </c>
      <c r="H21" t="s">
        <v>119</v>
      </c>
      <c r="I21" s="22" t="s">
        <v>165</v>
      </c>
    </row>
    <row r="22" spans="1:9" x14ac:dyDescent="0.3">
      <c r="A22" t="s">
        <v>154</v>
      </c>
      <c r="C22" s="21">
        <f>C21-G22</f>
        <v>0</v>
      </c>
      <c r="D22" t="s">
        <v>148</v>
      </c>
      <c r="F22" t="s">
        <v>149</v>
      </c>
      <c r="G22" s="5">
        <v>0</v>
      </c>
      <c r="H22" t="s">
        <v>148</v>
      </c>
      <c r="I22" s="22" t="s">
        <v>161</v>
      </c>
    </row>
    <row r="23" spans="1:9" x14ac:dyDescent="0.3">
      <c r="C23" s="21"/>
    </row>
    <row r="24" spans="1:9" ht="16.2" x14ac:dyDescent="0.3">
      <c r="A24" t="s">
        <v>141</v>
      </c>
      <c r="C24" s="21">
        <f>C19-C25-C26</f>
        <v>-3717.320343559642</v>
      </c>
      <c r="D24" t="s">
        <v>97</v>
      </c>
      <c r="G24" s="12"/>
    </row>
    <row r="25" spans="1:9" ht="16.2" x14ac:dyDescent="0.3">
      <c r="A25" t="s">
        <v>142</v>
      </c>
      <c r="C25" s="21">
        <f>G10*1000*C4*C8*VLOOKUP(G4,material_channel!E2:G65,3,FALSE)</f>
        <v>3621.320343559642</v>
      </c>
      <c r="D25" t="s">
        <v>97</v>
      </c>
    </row>
    <row r="26" spans="1:9" ht="16.2" x14ac:dyDescent="0.3">
      <c r="A26" t="s">
        <v>155</v>
      </c>
      <c r="C26" s="21">
        <f>(G10*1000)*C10*((G19*1.2)/1000)</f>
        <v>95.999999999999986</v>
      </c>
      <c r="D26" t="s">
        <v>97</v>
      </c>
    </row>
    <row r="27" spans="1:9" x14ac:dyDescent="0.3">
      <c r="C27" s="21"/>
    </row>
    <row r="28" spans="1:9" x14ac:dyDescent="0.3">
      <c r="A28" s="4" t="s">
        <v>92</v>
      </c>
    </row>
  </sheetData>
  <dataValidations count="2">
    <dataValidation type="list" allowBlank="1" showInputMessage="1" showErrorMessage="1" sqref="G2" xr:uid="{82A9054F-E87C-4758-9C3A-55A6592B2A37}">
      <formula1>kind</formula1>
    </dataValidation>
    <dataValidation type="list" allowBlank="1" showInputMessage="1" showErrorMessage="1" sqref="G3:G4" xr:uid="{04BE74FE-AA1B-4A7F-8043-297F91F1D73C}">
      <formula1>INDIRECT(G2)</formula1>
    </dataValidation>
  </dataValidations>
  <hyperlinks>
    <hyperlink ref="A28" r:id="rId1" xr:uid="{6F1C6E31-9555-488B-9AB3-786CAFE6639D}"/>
  </hyperlinks>
  <pageMargins left="0.7" right="0.7" top="0.75" bottom="0.75" header="0.3" footer="0.3"/>
  <pageSetup paperSize="9" orientation="portrait" r:id="rId2"/>
  <drawing r:id="rId3"/>
  <legacyDrawing r:id="rId4"/>
  <oleObjects>
    <mc:AlternateContent xmlns:mc="http://schemas.openxmlformats.org/markup-compatibility/2006">
      <mc:Choice Requires="x14">
        <oleObject shapeId="2049" r:id="rId5">
          <objectPr defaultSize="0" autoPict="0" r:id="rId6">
            <anchor moveWithCells="1">
              <from>
                <xdr:col>9</xdr:col>
                <xdr:colOff>236220</xdr:colOff>
                <xdr:row>14</xdr:row>
                <xdr:rowOff>91440</xdr:rowOff>
              </from>
              <to>
                <xdr:col>13</xdr:col>
                <xdr:colOff>175260</xdr:colOff>
                <xdr:row>18</xdr:row>
                <xdr:rowOff>60960</xdr:rowOff>
              </to>
            </anchor>
          </objectPr>
        </oleObject>
      </mc:Choice>
      <mc:Fallback>
        <oleObject shapeId="2049" r:id="rId5"/>
      </mc:Fallback>
    </mc:AlternateContent>
  </oleObjec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96F4406-2F50-4A03-B4E5-8158033A1CCA}">
          <x14:formula1>
            <xm:f>shape_channel!$A$27:$A$29</xm:f>
          </x14:formula1>
          <xm:sqref>G6</xm:sqref>
        </x14:dataValidation>
        <x14:dataValidation type="list" allowBlank="1" showInputMessage="1" showErrorMessage="1" xr:uid="{3A66567C-BE42-443E-8E9A-56D74B921097}">
          <x14:formula1>
            <xm:f>material_channel!$A$14:$A$18</xm:f>
          </x14:formula1>
          <xm:sqref>G13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A8257-E566-444D-B04D-803EAB578BC5}">
  <dimension ref="A1:E29"/>
  <sheetViews>
    <sheetView zoomScale="70" zoomScaleNormal="70" workbookViewId="0">
      <selection activeCell="C5" sqref="C5"/>
    </sheetView>
  </sheetViews>
  <sheetFormatPr defaultRowHeight="14.4" x14ac:dyDescent="0.3"/>
  <cols>
    <col min="1" max="1" width="34.21875" customWidth="1"/>
  </cols>
  <sheetData>
    <row r="1" spans="1:4" x14ac:dyDescent="0.3">
      <c r="A1" s="1" t="s">
        <v>93</v>
      </c>
    </row>
    <row r="2" spans="1:4" ht="15.6" x14ac:dyDescent="0.35">
      <c r="A2" t="s">
        <v>87</v>
      </c>
      <c r="B2" t="s">
        <v>96</v>
      </c>
      <c r="C2" s="6">
        <v>2</v>
      </c>
      <c r="D2" t="s">
        <v>3</v>
      </c>
    </row>
    <row r="3" spans="1:4" ht="15.6" x14ac:dyDescent="0.35">
      <c r="A3" t="s">
        <v>89</v>
      </c>
      <c r="B3" t="s">
        <v>95</v>
      </c>
      <c r="C3" s="6">
        <v>1</v>
      </c>
      <c r="D3" t="s">
        <v>3</v>
      </c>
    </row>
    <row r="4" spans="1:4" x14ac:dyDescent="0.3">
      <c r="A4" t="s">
        <v>88</v>
      </c>
      <c r="B4" t="s">
        <v>99</v>
      </c>
      <c r="C4" s="6">
        <v>0.5</v>
      </c>
      <c r="D4" t="s">
        <v>3</v>
      </c>
    </row>
    <row r="5" spans="1:4" ht="15.6" x14ac:dyDescent="0.35">
      <c r="A5" t="s">
        <v>90</v>
      </c>
      <c r="B5" t="s">
        <v>98</v>
      </c>
      <c r="C5" s="3">
        <f>SQRT(POWER(C4,2)+POWER((C2/2-C3/2),2))</f>
        <v>0.70710678118654757</v>
      </c>
      <c r="D5" t="s">
        <v>3</v>
      </c>
    </row>
    <row r="6" spans="1:4" x14ac:dyDescent="0.3">
      <c r="A6" t="s">
        <v>4</v>
      </c>
      <c r="B6" t="s">
        <v>5</v>
      </c>
      <c r="C6" s="3">
        <f>C7/C8</f>
        <v>0.3106601717798213</v>
      </c>
      <c r="D6" t="s">
        <v>3</v>
      </c>
    </row>
    <row r="7" spans="1:4" ht="16.2" x14ac:dyDescent="0.3">
      <c r="A7" s="9" t="s">
        <v>0</v>
      </c>
      <c r="B7" s="9" t="s">
        <v>6</v>
      </c>
      <c r="C7" s="10">
        <f>C3*C4+((C2-C3)/2)*C4</f>
        <v>0.75</v>
      </c>
      <c r="D7" s="9" t="s">
        <v>100</v>
      </c>
    </row>
    <row r="8" spans="1:4" x14ac:dyDescent="0.3">
      <c r="A8" s="7" t="s">
        <v>1</v>
      </c>
      <c r="B8" s="7" t="s">
        <v>7</v>
      </c>
      <c r="C8" s="8">
        <f>C5*2+C3</f>
        <v>2.4142135623730949</v>
      </c>
      <c r="D8" s="7" t="s">
        <v>3</v>
      </c>
    </row>
    <row r="10" spans="1:4" x14ac:dyDescent="0.3">
      <c r="A10" s="1" t="s">
        <v>103</v>
      </c>
    </row>
    <row r="11" spans="1:4" ht="15.6" x14ac:dyDescent="0.35">
      <c r="A11" t="s">
        <v>87</v>
      </c>
      <c r="B11" t="s">
        <v>96</v>
      </c>
      <c r="C11" s="6">
        <v>1.5</v>
      </c>
      <c r="D11" t="s">
        <v>3</v>
      </c>
    </row>
    <row r="12" spans="1:4" x14ac:dyDescent="0.3">
      <c r="A12" t="s">
        <v>88</v>
      </c>
      <c r="B12" t="s">
        <v>99</v>
      </c>
      <c r="C12" s="6">
        <v>1</v>
      </c>
      <c r="D12" t="s">
        <v>3</v>
      </c>
    </row>
    <row r="13" spans="1:4" x14ac:dyDescent="0.3">
      <c r="A13" t="s">
        <v>4</v>
      </c>
      <c r="B13" t="s">
        <v>5</v>
      </c>
      <c r="C13" s="3">
        <f>C14/C15</f>
        <v>0.42857142857142855</v>
      </c>
      <c r="D13" t="s">
        <v>3</v>
      </c>
    </row>
    <row r="14" spans="1:4" ht="16.2" x14ac:dyDescent="0.3">
      <c r="A14" s="9" t="s">
        <v>0</v>
      </c>
      <c r="B14" s="9" t="s">
        <v>6</v>
      </c>
      <c r="C14" s="10">
        <f>C11*C12</f>
        <v>1.5</v>
      </c>
      <c r="D14" s="9" t="s">
        <v>100</v>
      </c>
    </row>
    <row r="15" spans="1:4" x14ac:dyDescent="0.3">
      <c r="A15" s="7" t="s">
        <v>1</v>
      </c>
      <c r="B15" s="7" t="s">
        <v>7</v>
      </c>
      <c r="C15" s="8">
        <f>C11+C12+C12</f>
        <v>3.5</v>
      </c>
      <c r="D15" s="7" t="s">
        <v>3</v>
      </c>
    </row>
    <row r="16" spans="1:4" x14ac:dyDescent="0.3">
      <c r="A16" s="7"/>
      <c r="B16" s="7"/>
      <c r="C16" s="8"/>
      <c r="D16" s="7"/>
    </row>
    <row r="17" spans="1:5" x14ac:dyDescent="0.3">
      <c r="A17" s="7"/>
      <c r="B17" s="7"/>
      <c r="C17" s="8"/>
      <c r="D17" s="7"/>
    </row>
    <row r="18" spans="1:5" x14ac:dyDescent="0.3">
      <c r="A18" s="1" t="s">
        <v>94</v>
      </c>
    </row>
    <row r="19" spans="1:5" x14ac:dyDescent="0.3">
      <c r="A19" t="s">
        <v>87</v>
      </c>
      <c r="C19" s="6">
        <v>1</v>
      </c>
      <c r="D19" t="s">
        <v>3</v>
      </c>
    </row>
    <row r="20" spans="1:5" x14ac:dyDescent="0.3">
      <c r="A20" t="s">
        <v>101</v>
      </c>
      <c r="C20" s="3">
        <f>C19/2</f>
        <v>0.5</v>
      </c>
      <c r="D20" t="s">
        <v>3</v>
      </c>
    </row>
    <row r="21" spans="1:5" x14ac:dyDescent="0.3">
      <c r="A21" t="s">
        <v>4</v>
      </c>
      <c r="B21" t="s">
        <v>5</v>
      </c>
      <c r="C21" s="3">
        <f>C22/C23</f>
        <v>0.25</v>
      </c>
      <c r="D21" t="s">
        <v>3</v>
      </c>
    </row>
    <row r="22" spans="1:5" x14ac:dyDescent="0.3">
      <c r="A22" t="s">
        <v>0</v>
      </c>
      <c r="B22" t="s">
        <v>6</v>
      </c>
      <c r="C22" s="3">
        <f>(PI()*POWER(C20,2))/2</f>
        <v>0.39269908169872414</v>
      </c>
      <c r="D22" t="s">
        <v>2</v>
      </c>
    </row>
    <row r="23" spans="1:5" x14ac:dyDescent="0.3">
      <c r="A23" t="s">
        <v>1</v>
      </c>
      <c r="B23" t="s">
        <v>7</v>
      </c>
      <c r="C23" s="3">
        <f>PI()*C20</f>
        <v>1.5707963267948966</v>
      </c>
      <c r="D23" t="s">
        <v>3</v>
      </c>
    </row>
    <row r="26" spans="1:5" x14ac:dyDescent="0.3">
      <c r="B26" t="s">
        <v>5</v>
      </c>
      <c r="C26" t="s">
        <v>6</v>
      </c>
      <c r="D26" t="s">
        <v>7</v>
      </c>
      <c r="E26" t="s">
        <v>157</v>
      </c>
    </row>
    <row r="27" spans="1:5" x14ac:dyDescent="0.3">
      <c r="A27" t="s">
        <v>104</v>
      </c>
      <c r="B27" s="3">
        <f>C6</f>
        <v>0.3106601717798213</v>
      </c>
      <c r="C27" s="3">
        <f>C7</f>
        <v>0.75</v>
      </c>
      <c r="D27" s="3">
        <f>C8</f>
        <v>2.4142135623730949</v>
      </c>
      <c r="E27" s="3">
        <f>C2</f>
        <v>2</v>
      </c>
    </row>
    <row r="28" spans="1:5" x14ac:dyDescent="0.3">
      <c r="A28" t="s">
        <v>105</v>
      </c>
      <c r="B28" s="3">
        <f>C13</f>
        <v>0.42857142857142855</v>
      </c>
      <c r="C28" s="3">
        <f>C14</f>
        <v>1.5</v>
      </c>
      <c r="D28" s="3">
        <f>C15</f>
        <v>3.5</v>
      </c>
      <c r="E28" s="3">
        <f>C11</f>
        <v>1.5</v>
      </c>
    </row>
    <row r="29" spans="1:5" x14ac:dyDescent="0.3">
      <c r="A29" t="s">
        <v>106</v>
      </c>
      <c r="B29" s="3">
        <f>C21</f>
        <v>0.25</v>
      </c>
      <c r="C29" s="3">
        <f>C22</f>
        <v>0.39269908169872414</v>
      </c>
      <c r="D29" s="3">
        <f>C23</f>
        <v>1.5707963267948966</v>
      </c>
      <c r="E29" s="3">
        <f>C19</f>
        <v>1</v>
      </c>
    </row>
  </sheetData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shapeId="1025" r:id="rId4">
          <objectPr defaultSize="0" r:id="rId5">
            <anchor moveWithCells="1">
              <from>
                <xdr:col>11</xdr:col>
                <xdr:colOff>373380</xdr:colOff>
                <xdr:row>7</xdr:row>
                <xdr:rowOff>60960</xdr:rowOff>
              </from>
              <to>
                <xdr:col>13</xdr:col>
                <xdr:colOff>510540</xdr:colOff>
                <xdr:row>14</xdr:row>
                <xdr:rowOff>129540</xdr:rowOff>
              </to>
            </anchor>
          </objectPr>
        </oleObject>
      </mc:Choice>
      <mc:Fallback>
        <oleObject shapeId="1025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49CB3-F32D-4F11-8AFE-90AA4D1E782D}">
  <dimension ref="A1:G74"/>
  <sheetViews>
    <sheetView workbookViewId="0"/>
  </sheetViews>
  <sheetFormatPr defaultRowHeight="14.4" x14ac:dyDescent="0.3"/>
  <cols>
    <col min="1" max="1" width="23.21875" customWidth="1"/>
    <col min="2" max="2" width="17" customWidth="1"/>
    <col min="3" max="3" width="14.109375" customWidth="1"/>
    <col min="4" max="4" width="21.44140625" customWidth="1"/>
    <col min="5" max="5" width="43.5546875" customWidth="1"/>
    <col min="6" max="6" width="6.88671875" customWidth="1"/>
  </cols>
  <sheetData>
    <row r="1" spans="1:7" x14ac:dyDescent="0.3">
      <c r="A1" s="1" t="s">
        <v>59</v>
      </c>
      <c r="B1" s="1" t="s">
        <v>60</v>
      </c>
      <c r="C1" s="1"/>
      <c r="D1" s="1"/>
      <c r="F1" s="2" t="s">
        <v>10</v>
      </c>
      <c r="G1" t="s">
        <v>146</v>
      </c>
    </row>
    <row r="2" spans="1:7" x14ac:dyDescent="0.3">
      <c r="A2" s="1" t="s">
        <v>61</v>
      </c>
      <c r="B2" s="1" t="s">
        <v>31</v>
      </c>
      <c r="C2" s="1"/>
      <c r="D2" s="1"/>
      <c r="E2" s="1" t="s">
        <v>61</v>
      </c>
    </row>
    <row r="3" spans="1:7" x14ac:dyDescent="0.3">
      <c r="A3" s="1" t="s">
        <v>62</v>
      </c>
      <c r="B3" s="1" t="s">
        <v>34</v>
      </c>
      <c r="C3" s="1"/>
      <c r="D3" s="1"/>
      <c r="E3" t="s">
        <v>13</v>
      </c>
      <c r="F3" s="2">
        <v>1.7999999999999999E-2</v>
      </c>
      <c r="G3">
        <v>1</v>
      </c>
    </row>
    <row r="4" spans="1:7" x14ac:dyDescent="0.3">
      <c r="A4" s="1" t="s">
        <v>63</v>
      </c>
      <c r="B4" s="1" t="s">
        <v>40</v>
      </c>
      <c r="C4" s="1"/>
      <c r="D4" s="1"/>
      <c r="E4" t="s">
        <v>14</v>
      </c>
      <c r="F4" s="2">
        <v>2.1999999999999999E-2</v>
      </c>
      <c r="G4">
        <v>1</v>
      </c>
    </row>
    <row r="5" spans="1:7" x14ac:dyDescent="0.3">
      <c r="A5" s="1" t="s">
        <v>64</v>
      </c>
      <c r="B5" s="1" t="s">
        <v>72</v>
      </c>
      <c r="C5" s="1"/>
      <c r="D5" s="1"/>
      <c r="E5" t="s">
        <v>15</v>
      </c>
      <c r="F5" s="2">
        <v>2.5000000000000001E-2</v>
      </c>
      <c r="G5">
        <v>1</v>
      </c>
    </row>
    <row r="6" spans="1:7" x14ac:dyDescent="0.3">
      <c r="A6" s="1" t="s">
        <v>65</v>
      </c>
      <c r="B6" s="1" t="s">
        <v>73</v>
      </c>
      <c r="C6" s="1"/>
      <c r="D6" s="1"/>
      <c r="E6" t="s">
        <v>16</v>
      </c>
      <c r="F6" s="2">
        <v>2.7E-2</v>
      </c>
      <c r="G6">
        <v>1</v>
      </c>
    </row>
    <row r="7" spans="1:7" x14ac:dyDescent="0.3">
      <c r="B7" s="1" t="s">
        <v>49</v>
      </c>
      <c r="C7" s="1"/>
      <c r="D7" s="1"/>
      <c r="E7" s="1" t="s">
        <v>62</v>
      </c>
      <c r="F7" s="2"/>
    </row>
    <row r="8" spans="1:7" x14ac:dyDescent="0.3">
      <c r="B8" s="1" t="s">
        <v>53</v>
      </c>
      <c r="C8" s="1"/>
      <c r="D8" s="1"/>
      <c r="E8" t="s">
        <v>18</v>
      </c>
      <c r="F8" s="2">
        <v>2.5000000000000001E-2</v>
      </c>
      <c r="G8">
        <v>1</v>
      </c>
    </row>
    <row r="9" spans="1:7" x14ac:dyDescent="0.3">
      <c r="B9" s="2"/>
      <c r="C9" s="2"/>
      <c r="D9" s="2"/>
      <c r="E9" t="s">
        <v>19</v>
      </c>
      <c r="F9" s="2">
        <v>0.03</v>
      </c>
      <c r="G9">
        <v>1</v>
      </c>
    </row>
    <row r="10" spans="1:7" x14ac:dyDescent="0.3">
      <c r="A10" t="s">
        <v>114</v>
      </c>
      <c r="B10" s="2"/>
      <c r="C10" s="2"/>
      <c r="D10" s="2"/>
      <c r="E10" t="s">
        <v>20</v>
      </c>
      <c r="F10" s="2">
        <v>3.5000000000000003E-2</v>
      </c>
      <c r="G10">
        <v>1</v>
      </c>
    </row>
    <row r="11" spans="1:7" x14ac:dyDescent="0.3">
      <c r="B11" s="2"/>
      <c r="C11" s="2"/>
      <c r="D11" s="2"/>
      <c r="E11" t="s">
        <v>21</v>
      </c>
      <c r="F11" s="2">
        <v>0.03</v>
      </c>
      <c r="G11">
        <v>1</v>
      </c>
    </row>
    <row r="12" spans="1:7" x14ac:dyDescent="0.3">
      <c r="A12" s="16"/>
      <c r="B12" s="23" t="s">
        <v>137</v>
      </c>
      <c r="C12" s="23"/>
      <c r="D12" s="2"/>
      <c r="E12" t="s">
        <v>22</v>
      </c>
      <c r="F12" s="2">
        <v>3.5000000000000003E-2</v>
      </c>
      <c r="G12">
        <v>1</v>
      </c>
    </row>
    <row r="13" spans="1:7" x14ac:dyDescent="0.3">
      <c r="A13" s="14" t="s">
        <v>129</v>
      </c>
      <c r="B13" s="15" t="s">
        <v>135</v>
      </c>
      <c r="C13" s="15" t="s">
        <v>136</v>
      </c>
      <c r="D13" s="2"/>
      <c r="E13" t="s">
        <v>23</v>
      </c>
      <c r="F13" s="2">
        <v>0.04</v>
      </c>
      <c r="G13">
        <v>1</v>
      </c>
    </row>
    <row r="14" spans="1:7" x14ac:dyDescent="0.3">
      <c r="A14" t="s">
        <v>130</v>
      </c>
      <c r="B14" s="13">
        <v>7.0000000000000007E-2</v>
      </c>
      <c r="C14" s="13">
        <v>0.1</v>
      </c>
      <c r="D14" s="2"/>
      <c r="E14" s="1" t="s">
        <v>63</v>
      </c>
      <c r="F14" s="2"/>
    </row>
    <row r="15" spans="1:7" x14ac:dyDescent="0.3">
      <c r="A15" t="s">
        <v>131</v>
      </c>
      <c r="B15" s="13">
        <v>0.15</v>
      </c>
      <c r="C15" s="13">
        <v>0.23</v>
      </c>
      <c r="D15" s="2"/>
      <c r="E15" t="s">
        <v>18</v>
      </c>
      <c r="F15" s="2">
        <v>2.8000000000000001E-2</v>
      </c>
      <c r="G15">
        <v>1</v>
      </c>
    </row>
    <row r="16" spans="1:7" x14ac:dyDescent="0.3">
      <c r="A16" t="s">
        <v>132</v>
      </c>
      <c r="B16" s="13">
        <v>0.45</v>
      </c>
      <c r="C16" s="13">
        <v>0.55000000000000004</v>
      </c>
      <c r="D16" s="2"/>
      <c r="E16" t="s">
        <v>24</v>
      </c>
      <c r="F16" s="2">
        <v>0.05</v>
      </c>
      <c r="G16">
        <v>1</v>
      </c>
    </row>
    <row r="17" spans="1:7" x14ac:dyDescent="0.3">
      <c r="A17" t="s">
        <v>133</v>
      </c>
      <c r="B17" s="13">
        <v>0.55000000000000004</v>
      </c>
      <c r="C17" s="13">
        <v>0.75</v>
      </c>
      <c r="D17" s="2"/>
      <c r="E17" s="1" t="s">
        <v>64</v>
      </c>
      <c r="F17" s="2"/>
    </row>
    <row r="18" spans="1:7" x14ac:dyDescent="0.3">
      <c r="A18" s="17" t="s">
        <v>134</v>
      </c>
      <c r="B18" s="18">
        <v>0.75</v>
      </c>
      <c r="C18" s="18">
        <v>0.9</v>
      </c>
      <c r="D18" s="2"/>
      <c r="E18" t="s">
        <v>25</v>
      </c>
      <c r="F18" s="2">
        <v>3.5000000000000003E-2</v>
      </c>
      <c r="G18">
        <v>1</v>
      </c>
    </row>
    <row r="19" spans="1:7" x14ac:dyDescent="0.3">
      <c r="B19" s="2"/>
      <c r="C19" s="2"/>
      <c r="D19" s="2"/>
      <c r="E19" t="s">
        <v>26</v>
      </c>
      <c r="F19" s="2">
        <v>0.04</v>
      </c>
      <c r="G19">
        <v>1</v>
      </c>
    </row>
    <row r="20" spans="1:7" x14ac:dyDescent="0.3">
      <c r="B20" s="2"/>
      <c r="C20" s="2"/>
      <c r="D20" s="2"/>
      <c r="E20" s="1" t="s">
        <v>65</v>
      </c>
      <c r="F20" s="2"/>
    </row>
    <row r="21" spans="1:7" x14ac:dyDescent="0.3">
      <c r="B21" s="2"/>
      <c r="C21" s="2"/>
      <c r="D21" s="2"/>
      <c r="E21" t="s">
        <v>27</v>
      </c>
      <c r="F21" s="2">
        <v>0.08</v>
      </c>
      <c r="G21">
        <v>1</v>
      </c>
    </row>
    <row r="22" spans="1:7" x14ac:dyDescent="0.3">
      <c r="B22" s="2"/>
      <c r="C22" s="2"/>
      <c r="D22" s="2"/>
      <c r="E22" t="s">
        <v>28</v>
      </c>
      <c r="F22" s="2">
        <v>0.05</v>
      </c>
      <c r="G22">
        <v>1</v>
      </c>
    </row>
    <row r="23" spans="1:7" x14ac:dyDescent="0.3">
      <c r="B23" s="2"/>
      <c r="C23" s="2"/>
      <c r="D23" s="2"/>
      <c r="E23" t="s">
        <v>29</v>
      </c>
      <c r="F23" s="2">
        <v>7.0000000000000007E-2</v>
      </c>
      <c r="G23">
        <v>1</v>
      </c>
    </row>
    <row r="24" spans="1:7" x14ac:dyDescent="0.3">
      <c r="B24" s="2"/>
      <c r="C24" s="2"/>
      <c r="D24" s="2"/>
      <c r="E24" t="s">
        <v>30</v>
      </c>
      <c r="F24" s="2">
        <v>0.1</v>
      </c>
      <c r="G24">
        <v>1</v>
      </c>
    </row>
    <row r="25" spans="1:7" x14ac:dyDescent="0.3">
      <c r="B25" s="2"/>
      <c r="C25" s="2"/>
      <c r="D25" s="2"/>
      <c r="E25" s="1" t="s">
        <v>31</v>
      </c>
      <c r="F25" s="2"/>
    </row>
    <row r="26" spans="1:7" x14ac:dyDescent="0.3">
      <c r="E26" t="s">
        <v>32</v>
      </c>
      <c r="F26" s="2">
        <v>1.0999999999999999E-2</v>
      </c>
      <c r="G26">
        <v>0</v>
      </c>
    </row>
    <row r="27" spans="1:7" x14ac:dyDescent="0.3">
      <c r="E27" t="s">
        <v>33</v>
      </c>
      <c r="F27" s="2">
        <v>1.2999999999999999E-2</v>
      </c>
      <c r="G27">
        <v>0</v>
      </c>
    </row>
    <row r="28" spans="1:7" x14ac:dyDescent="0.3">
      <c r="E28" s="1" t="s">
        <v>34</v>
      </c>
      <c r="F28" s="2"/>
    </row>
    <row r="29" spans="1:7" x14ac:dyDescent="0.3">
      <c r="E29" t="s">
        <v>35</v>
      </c>
      <c r="F29" s="2">
        <v>1.2E-2</v>
      </c>
      <c r="G29">
        <v>0</v>
      </c>
    </row>
    <row r="30" spans="1:7" x14ac:dyDescent="0.3">
      <c r="E30" t="s">
        <v>36</v>
      </c>
      <c r="F30" s="2">
        <v>1.2E-2</v>
      </c>
      <c r="G30">
        <v>0</v>
      </c>
    </row>
    <row r="31" spans="1:7" x14ac:dyDescent="0.3">
      <c r="E31" t="s">
        <v>37</v>
      </c>
      <c r="F31" s="2">
        <v>1.2999999999999999E-2</v>
      </c>
      <c r="G31">
        <v>0</v>
      </c>
    </row>
    <row r="32" spans="1:7" x14ac:dyDescent="0.3">
      <c r="E32" t="s">
        <v>38</v>
      </c>
      <c r="F32" s="2">
        <v>1.4999999999999999E-2</v>
      </c>
      <c r="G32">
        <v>0</v>
      </c>
    </row>
    <row r="33" spans="5:7" x14ac:dyDescent="0.3">
      <c r="E33" t="s">
        <v>39</v>
      </c>
      <c r="F33" s="2">
        <v>1.4E-2</v>
      </c>
      <c r="G33">
        <v>0</v>
      </c>
    </row>
    <row r="34" spans="5:7" x14ac:dyDescent="0.3">
      <c r="E34" s="1" t="s">
        <v>40</v>
      </c>
      <c r="F34" s="2"/>
    </row>
    <row r="35" spans="5:7" x14ac:dyDescent="0.3">
      <c r="E35" t="s">
        <v>43</v>
      </c>
      <c r="F35" s="2">
        <v>1.2999999999999999E-2</v>
      </c>
      <c r="G35">
        <v>0</v>
      </c>
    </row>
    <row r="36" spans="5:7" x14ac:dyDescent="0.3">
      <c r="E36" t="s">
        <v>41</v>
      </c>
      <c r="F36" s="2">
        <v>1.4999999999999999E-2</v>
      </c>
      <c r="G36">
        <v>0</v>
      </c>
    </row>
    <row r="37" spans="5:7" x14ac:dyDescent="0.3">
      <c r="E37" t="s">
        <v>42</v>
      </c>
      <c r="F37" s="2">
        <v>1.7000000000000001E-2</v>
      </c>
      <c r="G37">
        <v>0</v>
      </c>
    </row>
    <row r="38" spans="5:7" x14ac:dyDescent="0.3">
      <c r="E38" t="s">
        <v>44</v>
      </c>
      <c r="F38" s="2">
        <v>1.7000000000000001E-2</v>
      </c>
      <c r="G38">
        <v>0</v>
      </c>
    </row>
    <row r="39" spans="5:7" x14ac:dyDescent="0.3">
      <c r="E39" t="s">
        <v>45</v>
      </c>
      <c r="F39" s="2">
        <v>1.9E-2</v>
      </c>
      <c r="G39">
        <v>0</v>
      </c>
    </row>
    <row r="40" spans="5:7" x14ac:dyDescent="0.3">
      <c r="E40" t="s">
        <v>46</v>
      </c>
      <c r="F40" s="2">
        <v>2.1999999999999999E-2</v>
      </c>
      <c r="G40">
        <v>0</v>
      </c>
    </row>
    <row r="41" spans="5:7" x14ac:dyDescent="0.3">
      <c r="E41" t="s">
        <v>47</v>
      </c>
      <c r="F41" s="2">
        <v>0.02</v>
      </c>
      <c r="G41">
        <v>0</v>
      </c>
    </row>
    <row r="42" spans="5:7" x14ac:dyDescent="0.3">
      <c r="E42" t="s">
        <v>48</v>
      </c>
      <c r="F42" s="2">
        <v>2.7E-2</v>
      </c>
      <c r="G42">
        <v>0</v>
      </c>
    </row>
    <row r="43" spans="5:7" x14ac:dyDescent="0.3">
      <c r="E43" s="1" t="s">
        <v>71</v>
      </c>
      <c r="F43" s="2"/>
    </row>
    <row r="44" spans="5:7" x14ac:dyDescent="0.3">
      <c r="E44" t="s">
        <v>66</v>
      </c>
      <c r="F44" s="2">
        <v>1.7000000000000001E-2</v>
      </c>
      <c r="G44">
        <v>0.2</v>
      </c>
    </row>
    <row r="45" spans="5:7" x14ac:dyDescent="0.3">
      <c r="E45" t="s">
        <v>67</v>
      </c>
      <c r="F45" s="2">
        <v>0.02</v>
      </c>
      <c r="G45">
        <v>0.2</v>
      </c>
    </row>
    <row r="46" spans="5:7" x14ac:dyDescent="0.3">
      <c r="E46" t="s">
        <v>68</v>
      </c>
      <c r="F46" s="2">
        <v>0.02</v>
      </c>
      <c r="G46">
        <v>0.2</v>
      </c>
    </row>
    <row r="47" spans="5:7" x14ac:dyDescent="0.3">
      <c r="E47" t="s">
        <v>69</v>
      </c>
      <c r="F47" s="2">
        <v>2.5000000000000001E-2</v>
      </c>
      <c r="G47">
        <v>0.2</v>
      </c>
    </row>
    <row r="48" spans="5:7" x14ac:dyDescent="0.3">
      <c r="E48" t="s">
        <v>70</v>
      </c>
      <c r="F48" s="2">
        <v>0.03</v>
      </c>
      <c r="G48">
        <v>0.2</v>
      </c>
    </row>
    <row r="49" spans="5:7" x14ac:dyDescent="0.3">
      <c r="E49" s="1" t="s">
        <v>73</v>
      </c>
      <c r="F49" s="2"/>
    </row>
    <row r="50" spans="5:7" x14ac:dyDescent="0.3">
      <c r="E50" t="s">
        <v>74</v>
      </c>
      <c r="F50" s="2">
        <v>0.02</v>
      </c>
      <c r="G50">
        <v>0.5</v>
      </c>
    </row>
    <row r="51" spans="5:7" x14ac:dyDescent="0.3">
      <c r="E51" t="s">
        <v>75</v>
      </c>
      <c r="F51" s="2">
        <v>2.3E-2</v>
      </c>
      <c r="G51">
        <v>0.5</v>
      </c>
    </row>
    <row r="52" spans="5:7" x14ac:dyDescent="0.3">
      <c r="E52" t="s">
        <v>76</v>
      </c>
      <c r="F52" s="2">
        <v>3.3000000000000002E-2</v>
      </c>
      <c r="G52">
        <v>0.5</v>
      </c>
    </row>
    <row r="53" spans="5:7" x14ac:dyDescent="0.3">
      <c r="E53" t="s">
        <v>77</v>
      </c>
      <c r="F53" s="2">
        <v>0.02</v>
      </c>
      <c r="G53">
        <v>0.5</v>
      </c>
    </row>
    <row r="54" spans="5:7" x14ac:dyDescent="0.3">
      <c r="E54" t="s">
        <v>78</v>
      </c>
      <c r="F54" s="2">
        <v>1.2999999999999999E-2</v>
      </c>
      <c r="G54">
        <v>0.5</v>
      </c>
    </row>
    <row r="55" spans="5:7" x14ac:dyDescent="0.3">
      <c r="E55" t="s">
        <v>79</v>
      </c>
      <c r="F55" s="2">
        <v>1.4999999999999999E-2</v>
      </c>
      <c r="G55">
        <v>0.5</v>
      </c>
    </row>
    <row r="56" spans="5:7" x14ac:dyDescent="0.3">
      <c r="E56" s="1" t="s">
        <v>49</v>
      </c>
      <c r="F56" s="2"/>
    </row>
    <row r="57" spans="5:7" x14ac:dyDescent="0.3">
      <c r="E57" t="s">
        <v>50</v>
      </c>
      <c r="F57" s="2">
        <v>2.5000000000000001E-2</v>
      </c>
      <c r="G57">
        <v>0</v>
      </c>
    </row>
    <row r="58" spans="5:7" x14ac:dyDescent="0.3">
      <c r="E58" t="s">
        <v>51</v>
      </c>
      <c r="F58" s="2">
        <v>3.2000000000000001E-2</v>
      </c>
      <c r="G58">
        <v>0</v>
      </c>
    </row>
    <row r="59" spans="5:7" x14ac:dyDescent="0.3">
      <c r="E59" t="s">
        <v>52</v>
      </c>
      <c r="F59" s="2">
        <v>1.4999999999999999E-2</v>
      </c>
      <c r="G59">
        <v>0</v>
      </c>
    </row>
    <row r="60" spans="5:7" x14ac:dyDescent="0.3">
      <c r="E60" s="1" t="s">
        <v>53</v>
      </c>
      <c r="F60" s="2"/>
    </row>
    <row r="61" spans="5:7" x14ac:dyDescent="0.3">
      <c r="E61" t="s">
        <v>54</v>
      </c>
      <c r="F61" s="2">
        <v>1.2999999999999999E-2</v>
      </c>
      <c r="G61">
        <v>0</v>
      </c>
    </row>
    <row r="62" spans="5:7" x14ac:dyDescent="0.3">
      <c r="E62" t="s">
        <v>55</v>
      </c>
      <c r="F62" s="2">
        <v>1.6E-2</v>
      </c>
      <c r="G62">
        <v>0</v>
      </c>
    </row>
    <row r="63" spans="5:7" x14ac:dyDescent="0.3">
      <c r="E63" t="s">
        <v>58</v>
      </c>
      <c r="F63" s="2">
        <v>0.05</v>
      </c>
      <c r="G63">
        <v>0</v>
      </c>
    </row>
    <row r="64" spans="5:7" x14ac:dyDescent="0.3">
      <c r="E64" t="s">
        <v>56</v>
      </c>
      <c r="F64" s="2">
        <v>0.2</v>
      </c>
      <c r="G64">
        <v>0</v>
      </c>
    </row>
    <row r="65" spans="1:7" x14ac:dyDescent="0.3">
      <c r="E65" t="s">
        <v>57</v>
      </c>
      <c r="F65" s="2">
        <v>0.5</v>
      </c>
      <c r="G65">
        <v>0</v>
      </c>
    </row>
    <row r="74" spans="1:7" x14ac:dyDescent="0.3">
      <c r="A74" t="s">
        <v>17</v>
      </c>
    </row>
  </sheetData>
  <mergeCells count="1">
    <mergeCell ref="B12:C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16</vt:i4>
      </vt:variant>
    </vt:vector>
  </HeadingPairs>
  <TitlesOfParts>
    <vt:vector size="19" baseType="lpstr">
      <vt:lpstr>drainage_system</vt:lpstr>
      <vt:lpstr>shape_channel</vt:lpstr>
      <vt:lpstr>material_channel</vt:lpstr>
      <vt:lpstr>Asphalt</vt:lpstr>
      <vt:lpstr>Cement</vt:lpstr>
      <vt:lpstr>Channels_not_maintained</vt:lpstr>
      <vt:lpstr>Concrete</vt:lpstr>
      <vt:lpstr>Concrete_bottom</vt:lpstr>
      <vt:lpstr>Dragline</vt:lpstr>
      <vt:lpstr>Earth_straight_uniform</vt:lpstr>
      <vt:lpstr>Earth_winding</vt:lpstr>
      <vt:lpstr>Excavated</vt:lpstr>
      <vt:lpstr>Excavated_Channels</vt:lpstr>
      <vt:lpstr>Gravel_bottom</vt:lpstr>
      <vt:lpstr>kind</vt:lpstr>
      <vt:lpstr>Lined_Channels</vt:lpstr>
      <vt:lpstr>Masonry</vt:lpstr>
      <vt:lpstr>Rock_cuts</vt:lpstr>
      <vt:lpstr>Wood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Wolfram Spreer</dc:creator>
  <cp:lastModifiedBy>Wolfram Spreer</cp:lastModifiedBy>
  <dcterms:created xsi:type="dcterms:W3CDTF">2019-06-15T09:24:34Z</dcterms:created>
  <dcterms:modified xsi:type="dcterms:W3CDTF">2024-05-13T21:49:33Z</dcterms:modified>
</cp:coreProperties>
</file>