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ufgabe 1" sheetId="3" r:id="rId1"/>
    <sheet name="Aufgabe 2" sheetId="4" r:id="rId2"/>
    <sheet name="Aufgabe 3" sheetId="5" r:id="rId3"/>
  </sheets>
  <calcPr calcId="145621"/>
</workbook>
</file>

<file path=xl/calcChain.xml><?xml version="1.0" encoding="utf-8"?>
<calcChain xmlns="http://schemas.openxmlformats.org/spreadsheetml/2006/main">
  <c r="C48" i="3" l="1"/>
  <c r="C59" i="3" l="1"/>
  <c r="D59" i="3" s="1"/>
  <c r="E59" i="3" s="1"/>
  <c r="E60" i="3" s="1"/>
  <c r="E47" i="3"/>
  <c r="D47" i="3"/>
  <c r="E48" i="3" s="1"/>
  <c r="C47" i="3"/>
  <c r="D48" i="3" s="1"/>
  <c r="C34" i="3"/>
  <c r="D33" i="3"/>
  <c r="E33" i="3" s="1"/>
  <c r="E34" i="3" s="1"/>
  <c r="C30" i="3"/>
  <c r="D29" i="3"/>
  <c r="D28" i="3"/>
  <c r="E28" i="3" s="1"/>
  <c r="C25" i="3"/>
  <c r="D24" i="3"/>
  <c r="E24" i="3" s="1"/>
  <c r="D23" i="3"/>
  <c r="E23" i="3" s="1"/>
  <c r="D22" i="3"/>
  <c r="E22" i="3" s="1"/>
  <c r="D21" i="3"/>
  <c r="E21" i="3" s="1"/>
  <c r="D20" i="3"/>
  <c r="E20" i="3" s="1"/>
  <c r="B43" i="3"/>
  <c r="E10" i="3"/>
  <c r="D10" i="3"/>
  <c r="C10" i="3"/>
  <c r="D15" i="3" l="1"/>
  <c r="D17" i="3" s="1"/>
  <c r="C44" i="3"/>
  <c r="E15" i="3"/>
  <c r="E17" i="3" s="1"/>
  <c r="D30" i="3"/>
  <c r="D34" i="3"/>
  <c r="D25" i="3"/>
  <c r="D49" i="3"/>
  <c r="C49" i="3"/>
  <c r="E49" i="3"/>
  <c r="E25" i="3"/>
  <c r="E29" i="3"/>
  <c r="E30" i="3" s="1"/>
  <c r="C15" i="3"/>
  <c r="C17" i="3" s="1"/>
  <c r="C36" i="3" s="1"/>
  <c r="C38" i="3" s="1"/>
  <c r="C41" i="3" s="1"/>
  <c r="D36" i="3" l="1"/>
  <c r="D38" i="3" s="1"/>
  <c r="D41" i="3" s="1"/>
  <c r="E36" i="3"/>
  <c r="E38" i="3" s="1"/>
  <c r="C51" i="3"/>
  <c r="C54" i="3"/>
  <c r="C56" i="3" s="1"/>
  <c r="C52" i="3" l="1"/>
  <c r="E51" i="3"/>
  <c r="E52" i="3" s="1"/>
  <c r="E41" i="3"/>
  <c r="E54" i="3"/>
  <c r="E67" i="3" s="1"/>
  <c r="D54" i="3"/>
  <c r="D67" i="3" s="1"/>
  <c r="D51" i="3"/>
  <c r="D52" i="3" s="1"/>
  <c r="B41" i="3"/>
  <c r="B42" i="3" s="1"/>
  <c r="B44" i="3" s="1"/>
  <c r="C67" i="3"/>
  <c r="D57" i="3"/>
  <c r="C74" i="3" l="1" a="1"/>
  <c r="D74" i="3" s="1"/>
  <c r="E58" i="3"/>
  <c r="E55" i="3" s="1"/>
  <c r="C74" i="3" l="1"/>
  <c r="D76" i="3"/>
  <c r="E76" i="3" s="1"/>
  <c r="F76" i="3" s="1"/>
  <c r="D75" i="3"/>
  <c r="C76" i="3"/>
  <c r="C75" i="3"/>
  <c r="E75" i="3" l="1"/>
  <c r="F75" i="3" s="1"/>
  <c r="E74" i="3" l="1"/>
  <c r="F74" i="3" s="1"/>
</calcChain>
</file>

<file path=xl/sharedStrings.xml><?xml version="1.0" encoding="utf-8"?>
<sst xmlns="http://schemas.openxmlformats.org/spreadsheetml/2006/main" count="58" uniqueCount="58">
  <si>
    <t>Jahr</t>
  </si>
  <si>
    <t>KOSTEN (€/a)</t>
  </si>
  <si>
    <t>Kalkulatorische Kosten für UV</t>
  </si>
  <si>
    <t>Brennstoffkosten</t>
  </si>
  <si>
    <t>Stromversorgung</t>
  </si>
  <si>
    <t>Ascheentsorgung</t>
  </si>
  <si>
    <t>Wasseraufbereitung</t>
  </si>
  <si>
    <t>Hilfs- und Betriebsstoffe</t>
  </si>
  <si>
    <t>Summe verbrauchsgeb. Kosten</t>
  </si>
  <si>
    <t>Laufende Betriebsführung</t>
  </si>
  <si>
    <t>Wartung und Instandhaltung</t>
  </si>
  <si>
    <t>Summe betriebsgeb. Kosten</t>
  </si>
  <si>
    <t>Versicherung</t>
  </si>
  <si>
    <t>Summe sonstige Kosten</t>
  </si>
  <si>
    <t>Summe jährliche Gesamtkosten</t>
  </si>
  <si>
    <t>laufender Cash-Flow</t>
  </si>
  <si>
    <t>Liquidationserlös im Falle des Verkaufs der Anlage nach Rumänien</t>
  </si>
  <si>
    <t>Ermittlung der optimalen Nutzungsdauer</t>
  </si>
  <si>
    <t>Kalkulationszins</t>
  </si>
  <si>
    <t>Cash Flow</t>
  </si>
  <si>
    <t>Liquidationserlös</t>
  </si>
  <si>
    <t>weitere Nutzung würde erbringen …</t>
  </si>
  <si>
    <t>Kalkulatorische Kosten (Zins und Abschreibung) für AV</t>
  </si>
  <si>
    <t>Verbrauchsgebundene Kosten (pagatorisch)</t>
  </si>
  <si>
    <t>Betriebsgebundene Kosten (pagatorisch)</t>
  </si>
  <si>
    <t>Sonstige Kosten (pagatorisch)</t>
  </si>
  <si>
    <t>Anschaffung der EE-Anlage</t>
  </si>
  <si>
    <t>Nutzungsdauer</t>
  </si>
  <si>
    <t>3 Jahre</t>
  </si>
  <si>
    <t>Annuitätenfaktor</t>
  </si>
  <si>
    <t>Tilgung</t>
  </si>
  <si>
    <t>Zins</t>
  </si>
  <si>
    <t>Summe Kapitaldienst</t>
  </si>
  <si>
    <t>Cash-Flow vor Kapitaldienst</t>
  </si>
  <si>
    <t>Annnual Debt Service Cover Ratio</t>
  </si>
  <si>
    <t>Kapitaldienst für Tilgungsdarlehen</t>
  </si>
  <si>
    <t>Summe kalkulatorische Kapitalkosten</t>
  </si>
  <si>
    <t>kalkulatorische Kapitalkosten bei einem Kalkulationszinssatz von 5%</t>
  </si>
  <si>
    <t>Cash-Flow nach Kapitaldienst</t>
  </si>
  <si>
    <t>kalkulatorischer Gewinn(+) bzw. Verlust(-)</t>
  </si>
  <si>
    <t>Anschaffungsjahr 0</t>
  </si>
  <si>
    <t>Nutzungsjahr</t>
  </si>
  <si>
    <t>STROMEINSPEISUNG [MWh/a]</t>
  </si>
  <si>
    <t>Ermitteln Sie daraus</t>
  </si>
  <si>
    <t>1. den Kapitalwert der kalkulatorischen Gewinne bzw. Verluste</t>
  </si>
  <si>
    <t>2. den "durchschnittlichen jährlichen Gewinn bzw. Verlust"</t>
  </si>
  <si>
    <t>Vorzeitige Veräußerung der EE-Anlage?</t>
  </si>
  <si>
    <t>weiternutzen oder verkaufen</t>
  </si>
  <si>
    <t>Am Ende des</t>
  </si>
  <si>
    <t>-ten Jahres soll verkauft werden</t>
  </si>
  <si>
    <t>Vermögenszuwachs durch die Anschaffung der EE-Anlage:</t>
  </si>
  <si>
    <r>
      <rPr>
        <b/>
        <sz val="11"/>
        <color theme="1"/>
        <rFont val="Calibri"/>
        <family val="2"/>
        <scheme val="minor"/>
      </rPr>
      <t>LEISTUNG:</t>
    </r>
    <r>
      <rPr>
        <sz val="11"/>
        <color theme="1"/>
        <rFont val="Calibri"/>
        <family val="2"/>
        <scheme val="minor"/>
      </rPr>
      <t xml:space="preserve">  (€/a) bei Erlösen aus Stromeinspeisung bei 140,00 €/MWh</t>
    </r>
  </si>
  <si>
    <t>Vermögenszuwachs durch Geldanlage (5 Mio. Euro) in Bodmer-Amazonas-Sustainable-Forest-Fund:</t>
  </si>
  <si>
    <t>Vermögensentwicklung mit der thesaurierenden Alternativanlage (Bodmer-Amazonas-Sustainable-Forest-Fund):</t>
  </si>
  <si>
    <t>3. die "durchschnittliche Rentabilität" in den drei Jahren der Nutzungsdauer</t>
  </si>
  <si>
    <t>Lösungshinweise zu Aufgabe 1:</t>
  </si>
  <si>
    <t>Lösungshinweise Aufgabe 2:</t>
  </si>
  <si>
    <t>Lösungshinweise zu Aufgabe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</si>
</sst>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\+#,##0;\-#,##0"/>
    <numFmt numFmtId="165" formatCode="0.000%"/>
    <numFmt numFmtId="166" formatCode="_-* #,##0.0000\ _€_-;\-* #,##0.00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C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quotePrefix="1"/>
    <xf numFmtId="44" fontId="0" fillId="0" borderId="0" xfId="1" applyFont="1"/>
    <xf numFmtId="44" fontId="0" fillId="0" borderId="0" xfId="0" applyNumberFormat="1"/>
    <xf numFmtId="0" fontId="3" fillId="0" borderId="0" xfId="0" applyFont="1"/>
    <xf numFmtId="0" fontId="0" fillId="0" borderId="0" xfId="0" applyAlignment="1"/>
    <xf numFmtId="1" fontId="0" fillId="0" borderId="0" xfId="0" applyNumberFormat="1" applyAlignme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wrapText="1"/>
    </xf>
    <xf numFmtId="9" fontId="0" fillId="0" borderId="0" xfId="0" applyNumberFormat="1"/>
    <xf numFmtId="4" fontId="0" fillId="0" borderId="0" xfId="0" applyNumberFormat="1"/>
    <xf numFmtId="0" fontId="4" fillId="0" borderId="0" xfId="0" applyFont="1"/>
    <xf numFmtId="44" fontId="0" fillId="0" borderId="0" xfId="1" applyFont="1" applyAlignment="1"/>
    <xf numFmtId="44" fontId="2" fillId="0" borderId="0" xfId="1" applyFont="1" applyAlignment="1"/>
    <xf numFmtId="8" fontId="0" fillId="0" borderId="0" xfId="0" applyNumberFormat="1"/>
    <xf numFmtId="44" fontId="2" fillId="0" borderId="0" xfId="1" applyFont="1"/>
    <xf numFmtId="44" fontId="3" fillId="0" borderId="0" xfId="1" applyFont="1" applyAlignment="1"/>
    <xf numFmtId="165" fontId="0" fillId="0" borderId="0" xfId="0" applyNumberFormat="1"/>
    <xf numFmtId="164" fontId="3" fillId="2" borderId="0" xfId="0" applyNumberFormat="1" applyFont="1" applyFill="1" applyAlignment="1"/>
    <xf numFmtId="4" fontId="0" fillId="2" borderId="0" xfId="0" applyNumberFormat="1" applyFill="1"/>
    <xf numFmtId="3" fontId="0" fillId="0" borderId="0" xfId="0" applyNumberFormat="1"/>
    <xf numFmtId="44" fontId="7" fillId="0" borderId="0" xfId="1" applyFont="1" applyAlignment="1"/>
    <xf numFmtId="44" fontId="7" fillId="0" borderId="0" xfId="1" applyFont="1" applyFill="1" applyAlignment="1"/>
    <xf numFmtId="44" fontId="8" fillId="0" borderId="0" xfId="1" applyFont="1" applyFill="1" applyAlignment="1"/>
    <xf numFmtId="44" fontId="9" fillId="0" borderId="0" xfId="1" applyFont="1" applyFill="1" applyAlignment="1"/>
    <xf numFmtId="164" fontId="8" fillId="0" borderId="0" xfId="0" applyNumberFormat="1" applyFont="1" applyFill="1" applyAlignment="1"/>
    <xf numFmtId="0" fontId="0" fillId="2" borderId="0" xfId="0" applyFill="1"/>
    <xf numFmtId="1" fontId="0" fillId="2" borderId="0" xfId="0" applyNumberFormat="1" applyFill="1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0" fontId="2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0" fillId="0" borderId="0" xfId="0" applyFont="1" applyAlignment="1">
      <alignment wrapText="1"/>
    </xf>
    <xf numFmtId="44" fontId="11" fillId="0" borderId="0" xfId="1" applyFont="1" applyAlignment="1"/>
    <xf numFmtId="0" fontId="12" fillId="0" borderId="0" xfId="0" applyFont="1" applyAlignment="1">
      <alignment vertical="center"/>
    </xf>
    <xf numFmtId="8" fontId="5" fillId="2" borderId="1" xfId="0" applyNumberFormat="1" applyFont="1" applyFill="1" applyBorder="1"/>
    <xf numFmtId="10" fontId="5" fillId="2" borderId="1" xfId="2" applyNumberFormat="1" applyFont="1" applyFill="1" applyBorder="1"/>
    <xf numFmtId="164" fontId="5" fillId="2" borderId="1" xfId="0" applyNumberFormat="1" applyFont="1" applyFill="1" applyBorder="1"/>
    <xf numFmtId="44" fontId="3" fillId="2" borderId="1" xfId="1" applyFont="1" applyFill="1" applyBorder="1" applyAlignment="1"/>
    <xf numFmtId="44" fontId="5" fillId="2" borderId="1" xfId="0" applyNumberFormat="1" applyFont="1" applyFill="1" applyBorder="1"/>
    <xf numFmtId="164" fontId="3" fillId="2" borderId="1" xfId="0" applyNumberFormat="1" applyFont="1" applyFill="1" applyBorder="1" applyAlignment="1"/>
    <xf numFmtId="166" fontId="5" fillId="2" borderId="1" xfId="3" applyNumberFormat="1" applyFont="1" applyFill="1" applyBorder="1"/>
    <xf numFmtId="44" fontId="5" fillId="2" borderId="1" xfId="1" applyFont="1" applyFill="1" applyBorder="1"/>
    <xf numFmtId="0" fontId="5" fillId="0" borderId="0" xfId="0" applyFont="1"/>
    <xf numFmtId="164" fontId="0" fillId="0" borderId="0" xfId="0" applyNumberFormat="1"/>
    <xf numFmtId="0" fontId="0" fillId="0" borderId="0" xfId="0" applyAlignment="1">
      <alignment horizontal="center" wrapText="1"/>
    </xf>
    <xf numFmtId="0" fontId="13" fillId="0" borderId="0" xfId="0" applyFont="1"/>
    <xf numFmtId="44" fontId="14" fillId="0" borderId="0" xfId="1" applyFont="1" applyAlignment="1"/>
    <xf numFmtId="44" fontId="14" fillId="0" borderId="0" xfId="1" applyFont="1" applyFill="1"/>
    <xf numFmtId="44" fontId="14" fillId="0" borderId="0" xfId="1" applyFont="1" applyFill="1" applyAlignment="1"/>
    <xf numFmtId="0" fontId="13" fillId="0" borderId="0" xfId="0" applyFont="1" applyAlignment="1">
      <alignment wrapText="1"/>
    </xf>
  </cellXfs>
  <cellStyles count="4">
    <cellStyle name="Komma" xfId="3" builtinId="3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76200</xdr:rowOff>
    </xdr:from>
    <xdr:to>
      <xdr:col>12</xdr:col>
      <xdr:colOff>485775</xdr:colOff>
      <xdr:row>21</xdr:row>
      <xdr:rowOff>161925</xdr:rowOff>
    </xdr:to>
    <xdr:sp macro="" textlink="">
      <xdr:nvSpPr>
        <xdr:cNvPr id="2" name="Textfeld 1"/>
        <xdr:cNvSpPr txBox="1"/>
      </xdr:nvSpPr>
      <xdr:spPr>
        <a:xfrm>
          <a:off x="114300" y="457200"/>
          <a:ext cx="10163175" cy="3705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Lösungshinweise</a:t>
          </a: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Teilaufgabe 1:</a:t>
          </a: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15.000 -&gt; Begründung: 3*100000*0,05;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diese Begründung der Bank ist aber sowieso falsch, weil das Disagio nicht berücksichtigt. wurde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Max. könnte die Bank theoretisch für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drei Jahre den entgangenen Nominalzins fordern. Aber auch das dürfte i.d.R. falsch sein, denn i.d.R. hat die Bank einen geringeren Zinsmargensschaden; ggf. aber auch noch einen Zinsverschlechterungsschaden.</a:t>
          </a:r>
        </a:p>
        <a:p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Zinsmargenschaden: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Bank entgehen für die ausgefallene Darlehenszeit bei vorzeitiger Rückzahlung eines Kredites durch einen Kunden die als Bruttogewinn einkalkulierte Differenz zwischen der bei Refinanzierung gezahlten und im Darlehensgeschäft erhaltenen Zinsen; sie spart sich andererseits aber für die restliche Darlehenszeit die Kosten der Risikovorsorge und Verwaltung.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Zinsverschlechterungsschaden: Ist dann zu berücksichtigen, wenn die Bank das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neue Darlehen mit einem schlechteren Zins (als es bei dem vorzeitig zurückgezahlten Darlehen der Fall war) an einen neuen Schuldner ausleihen könnte.</a:t>
          </a:r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Teilaufgabe 2: Nominalzinsberechnung: 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0,05=i/0,9+1-0,9/10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i=0,04*0,9 = 0,036 = 3,6%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jährlichen Zinszahlungen betragen (100.000 * 0,036 als Nominalzins) = 3600 Euro 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Bank entsteht aber nur ein Schaden von 100.000 * 0,011 = 1100 Euro für drei Jahre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-&gt; hier für 3 Jahre mit 4% auf Gegenwartszeitpunkt diskontieren.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Falls die Zinszahlung nachschüssig (Ende des Jahres) anfällt: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=1100/1,04^1 + 1100/1,04^2 + 1100/1,04^3 = 3052,60 Euro  Schaden für die Bank.</a:t>
          </a:r>
          <a:endParaRPr lang="de-D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</xdr:row>
      <xdr:rowOff>133350</xdr:rowOff>
    </xdr:from>
    <xdr:to>
      <xdr:col>12</xdr:col>
      <xdr:colOff>609600</xdr:colOff>
      <xdr:row>18</xdr:row>
      <xdr:rowOff>133350</xdr:rowOff>
    </xdr:to>
    <xdr:sp macro="" textlink="">
      <xdr:nvSpPr>
        <xdr:cNvPr id="2" name="Textfeld 1"/>
        <xdr:cNvSpPr txBox="1"/>
      </xdr:nvSpPr>
      <xdr:spPr>
        <a:xfrm>
          <a:off x="409575" y="323850"/>
          <a:ext cx="9458325" cy="323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Lösungshinweis:</a:t>
          </a:r>
        </a:p>
        <a:p>
          <a:pPr lvl="0"/>
          <a:r>
            <a:rPr lang="de-DE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1. Faustpfand erklären (wer ist Besitzer; wer ist Eigentümer; was sind Vor-/Nachteile; in welchen Fällen ist ein Faustpfand geeignet)</a:t>
          </a:r>
        </a:p>
        <a:p>
          <a:pPr lvl="0"/>
          <a:r>
            <a:rPr lang="de-DE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2. Sicherungsübereignung erklären (wer ist Besitzer; wer ist Eigentümer; was sind Vor-/Nachteile; in welchen Fällen ist eine Sicherungsübereignung angebracht)</a:t>
          </a:r>
        </a:p>
        <a:p>
          <a:pPr lvl="0"/>
          <a:r>
            <a:rPr lang="de-DE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3. Schlussfolgerung: Sicherungsübereignung</a:t>
          </a:r>
        </a:p>
        <a:p>
          <a:endParaRPr lang="de-DE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workbookViewId="0">
      <selection activeCell="A9" sqref="A9"/>
    </sheetView>
  </sheetViews>
  <sheetFormatPr baseColWidth="10" defaultRowHeight="15" x14ac:dyDescent="0.25"/>
  <cols>
    <col min="1" max="1" width="39.42578125" style="32" bestFit="1" customWidth="1"/>
    <col min="2" max="2" width="21" customWidth="1"/>
    <col min="3" max="3" width="16" customWidth="1"/>
    <col min="4" max="4" width="15.5703125" customWidth="1"/>
    <col min="5" max="5" width="16.28515625" customWidth="1"/>
    <col min="8" max="8" width="15.5703125" bestFit="1" customWidth="1"/>
    <col min="10" max="10" width="13.85546875" bestFit="1" customWidth="1"/>
    <col min="11" max="11" width="15.140625" bestFit="1" customWidth="1"/>
  </cols>
  <sheetData>
    <row r="1" spans="1:11" x14ac:dyDescent="0.25">
      <c r="A1" s="43"/>
    </row>
    <row r="2" spans="1:11" x14ac:dyDescent="0.25">
      <c r="A2" s="59" t="s">
        <v>55</v>
      </c>
    </row>
    <row r="3" spans="1:11" x14ac:dyDescent="0.25">
      <c r="A3" s="12"/>
      <c r="B3" s="4"/>
      <c r="C3" s="54" t="s">
        <v>41</v>
      </c>
      <c r="D3" s="54"/>
      <c r="E3" s="54"/>
    </row>
    <row r="4" spans="1:11" x14ac:dyDescent="0.25">
      <c r="A4" s="32" t="s">
        <v>0</v>
      </c>
      <c r="B4" t="s">
        <v>40</v>
      </c>
      <c r="C4">
        <v>1</v>
      </c>
      <c r="D4">
        <v>2</v>
      </c>
      <c r="E4">
        <v>3</v>
      </c>
    </row>
    <row r="5" spans="1:11" x14ac:dyDescent="0.25">
      <c r="A5" s="32" t="s">
        <v>26</v>
      </c>
      <c r="B5" s="2">
        <v>10000000</v>
      </c>
    </row>
    <row r="6" spans="1:11" x14ac:dyDescent="0.25">
      <c r="A6" s="32" t="s">
        <v>27</v>
      </c>
      <c r="B6" t="s">
        <v>28</v>
      </c>
    </row>
    <row r="7" spans="1:11" x14ac:dyDescent="0.25">
      <c r="H7" s="2"/>
      <c r="J7" s="18"/>
      <c r="K7" s="18"/>
    </row>
    <row r="9" spans="1:11" x14ac:dyDescent="0.25">
      <c r="A9" s="32" t="s">
        <v>42</v>
      </c>
      <c r="C9" s="24">
        <v>90400</v>
      </c>
      <c r="D9" s="24">
        <v>90400</v>
      </c>
      <c r="E9" s="24">
        <v>90400</v>
      </c>
      <c r="H9" s="2"/>
      <c r="J9" s="18"/>
      <c r="K9" s="18"/>
    </row>
    <row r="10" spans="1:11" ht="30" x14ac:dyDescent="0.25">
      <c r="A10" s="32" t="s">
        <v>51</v>
      </c>
      <c r="C10" s="42">
        <f>C9*140</f>
        <v>12656000</v>
      </c>
      <c r="D10" s="42">
        <f t="shared" ref="D10:E10" si="0">D9*140</f>
        <v>12656000</v>
      </c>
      <c r="E10" s="42">
        <f t="shared" si="0"/>
        <v>12656000</v>
      </c>
      <c r="H10" s="2"/>
      <c r="J10" s="18"/>
      <c r="K10" s="18"/>
    </row>
    <row r="11" spans="1:11" x14ac:dyDescent="0.25">
      <c r="C11" s="6"/>
      <c r="D11" s="6"/>
      <c r="E11" s="6"/>
      <c r="K11" s="18"/>
    </row>
    <row r="12" spans="1:11" x14ac:dyDescent="0.25">
      <c r="C12" s="6"/>
      <c r="D12" s="6"/>
      <c r="E12" s="6"/>
    </row>
    <row r="13" spans="1:11" x14ac:dyDescent="0.25">
      <c r="A13" s="32" t="s">
        <v>1</v>
      </c>
      <c r="C13" s="6"/>
      <c r="D13" s="6"/>
      <c r="E13" s="6"/>
    </row>
    <row r="14" spans="1:11" ht="30" x14ac:dyDescent="0.25">
      <c r="A14" s="36" t="s">
        <v>37</v>
      </c>
      <c r="B14" s="7"/>
      <c r="C14" s="6"/>
      <c r="D14" s="6"/>
      <c r="E14" s="6"/>
    </row>
    <row r="15" spans="1:11" ht="30" x14ac:dyDescent="0.25">
      <c r="A15" s="37" t="s">
        <v>22</v>
      </c>
      <c r="B15" s="8"/>
      <c r="C15" s="26">
        <f>$B5*$B43</f>
        <v>3672085.6463124505</v>
      </c>
      <c r="D15" s="26">
        <f>$B5*$B43</f>
        <v>3672085.6463124505</v>
      </c>
      <c r="E15" s="26">
        <f>$B5*$B43</f>
        <v>3672085.6463124505</v>
      </c>
    </row>
    <row r="16" spans="1:11" x14ac:dyDescent="0.25">
      <c r="A16" s="37" t="s">
        <v>2</v>
      </c>
      <c r="B16" s="8"/>
      <c r="C16" s="25">
        <v>175151.17</v>
      </c>
      <c r="D16" s="25">
        <v>176902.68170000002</v>
      </c>
      <c r="E16" s="25">
        <v>178671.70851700002</v>
      </c>
    </row>
    <row r="17" spans="1:5" x14ac:dyDescent="0.25">
      <c r="A17" s="38" t="s">
        <v>36</v>
      </c>
      <c r="B17" s="9"/>
      <c r="C17" s="27">
        <f>C15+C16</f>
        <v>3847236.8163124504</v>
      </c>
      <c r="D17" s="27">
        <f t="shared" ref="D17:E17" si="1">D15+D16</f>
        <v>3848988.3280124506</v>
      </c>
      <c r="E17" s="27">
        <f t="shared" si="1"/>
        <v>3850757.3548294506</v>
      </c>
    </row>
    <row r="18" spans="1:5" x14ac:dyDescent="0.25">
      <c r="C18" s="6"/>
      <c r="D18" s="6"/>
      <c r="E18" s="6"/>
    </row>
    <row r="19" spans="1:5" ht="30" x14ac:dyDescent="0.25">
      <c r="A19" s="36" t="s">
        <v>23</v>
      </c>
      <c r="B19" s="7"/>
      <c r="C19" s="6"/>
      <c r="D19" s="6"/>
      <c r="E19" s="6"/>
    </row>
    <row r="20" spans="1:5" x14ac:dyDescent="0.25">
      <c r="A20" s="37" t="s">
        <v>3</v>
      </c>
      <c r="B20" s="8"/>
      <c r="C20" s="16">
        <v>3041749.9999999995</v>
      </c>
      <c r="D20" s="16">
        <f>C20*1.15</f>
        <v>3498012.4999999991</v>
      </c>
      <c r="E20" s="16">
        <f>D20*1.15</f>
        <v>4022714.3749999986</v>
      </c>
    </row>
    <row r="21" spans="1:5" x14ac:dyDescent="0.25">
      <c r="A21" s="37" t="s">
        <v>4</v>
      </c>
      <c r="B21" s="8"/>
      <c r="C21" s="16">
        <v>1030301</v>
      </c>
      <c r="D21" s="16">
        <f t="shared" ref="D21:E24" si="2">C21*1.15</f>
        <v>1184846.1499999999</v>
      </c>
      <c r="E21" s="16">
        <f t="shared" si="2"/>
        <v>1362573.0724999998</v>
      </c>
    </row>
    <row r="22" spans="1:5" x14ac:dyDescent="0.25">
      <c r="A22" s="37" t="s">
        <v>5</v>
      </c>
      <c r="B22" s="8"/>
      <c r="C22" s="16">
        <v>412120.4</v>
      </c>
      <c r="D22" s="16">
        <f t="shared" si="2"/>
        <v>473938.45999999996</v>
      </c>
      <c r="E22" s="16">
        <f t="shared" si="2"/>
        <v>545029.22899999993</v>
      </c>
    </row>
    <row r="23" spans="1:5" x14ac:dyDescent="0.25">
      <c r="A23" s="37" t="s">
        <v>6</v>
      </c>
      <c r="B23" s="8"/>
      <c r="C23" s="16">
        <v>41212.04</v>
      </c>
      <c r="D23" s="16">
        <f t="shared" si="2"/>
        <v>47393.845999999998</v>
      </c>
      <c r="E23" s="16">
        <f t="shared" si="2"/>
        <v>54502.92289999999</v>
      </c>
    </row>
    <row r="24" spans="1:5" x14ac:dyDescent="0.25">
      <c r="A24" s="37" t="s">
        <v>7</v>
      </c>
      <c r="B24" s="8"/>
      <c r="C24" s="16">
        <v>618180.6</v>
      </c>
      <c r="D24" s="16">
        <f t="shared" si="2"/>
        <v>710907.69</v>
      </c>
      <c r="E24" s="16">
        <f t="shared" si="2"/>
        <v>817543.84349999984</v>
      </c>
    </row>
    <row r="25" spans="1:5" x14ac:dyDescent="0.25">
      <c r="A25" s="38" t="s">
        <v>8</v>
      </c>
      <c r="B25" s="9"/>
      <c r="C25" s="17">
        <f>SUM(C20:C24)</f>
        <v>5143564.0399999991</v>
      </c>
      <c r="D25" s="17">
        <f t="shared" ref="D25:E25" si="3">SUM(D20:D24)</f>
        <v>5915098.6459999979</v>
      </c>
      <c r="E25" s="17">
        <f t="shared" si="3"/>
        <v>6802363.4428999973</v>
      </c>
    </row>
    <row r="26" spans="1:5" x14ac:dyDescent="0.25">
      <c r="C26" s="6"/>
      <c r="D26" s="6"/>
      <c r="E26" s="6"/>
    </row>
    <row r="27" spans="1:5" x14ac:dyDescent="0.25">
      <c r="A27" s="36" t="s">
        <v>24</v>
      </c>
      <c r="B27" s="7"/>
      <c r="C27" s="6"/>
      <c r="D27" s="6"/>
      <c r="E27" s="6"/>
    </row>
    <row r="28" spans="1:5" x14ac:dyDescent="0.25">
      <c r="A28" s="37" t="s">
        <v>9</v>
      </c>
      <c r="B28" s="8"/>
      <c r="C28" s="16">
        <v>1133331.1000000001</v>
      </c>
      <c r="D28" s="16">
        <f>C28*1.15</f>
        <v>1303330.7649999999</v>
      </c>
      <c r="E28" s="16">
        <f>D28*1.15</f>
        <v>1498830.3797499998</v>
      </c>
    </row>
    <row r="29" spans="1:5" x14ac:dyDescent="0.25">
      <c r="A29" s="37" t="s">
        <v>10</v>
      </c>
      <c r="B29" s="8"/>
      <c r="C29" s="16">
        <v>824240.8</v>
      </c>
      <c r="D29" s="16">
        <f>C29*1.15</f>
        <v>947876.91999999993</v>
      </c>
      <c r="E29" s="16">
        <f>D29*1.15</f>
        <v>1090058.4579999999</v>
      </c>
    </row>
    <row r="30" spans="1:5" x14ac:dyDescent="0.25">
      <c r="A30" s="38" t="s">
        <v>11</v>
      </c>
      <c r="B30" s="9"/>
      <c r="C30" s="17">
        <f>SUM(C28:C29)</f>
        <v>1957571.9000000001</v>
      </c>
      <c r="D30" s="17">
        <f t="shared" ref="D30:E30" si="4">SUM(D28:D29)</f>
        <v>2251207.6849999996</v>
      </c>
      <c r="E30" s="17">
        <f t="shared" si="4"/>
        <v>2588888.8377499999</v>
      </c>
    </row>
    <row r="31" spans="1:5" x14ac:dyDescent="0.25">
      <c r="C31" s="6"/>
      <c r="D31" s="6"/>
      <c r="E31" s="6"/>
    </row>
    <row r="32" spans="1:5" x14ac:dyDescent="0.25">
      <c r="A32" s="36" t="s">
        <v>25</v>
      </c>
      <c r="B32" s="7"/>
      <c r="C32" s="6"/>
      <c r="D32" s="6"/>
      <c r="E32" s="6"/>
    </row>
    <row r="33" spans="1:11" x14ac:dyDescent="0.25">
      <c r="A33" s="37" t="s">
        <v>12</v>
      </c>
      <c r="B33" s="8"/>
      <c r="C33" s="16">
        <v>309090.3</v>
      </c>
      <c r="D33" s="16">
        <f>C33*1.15</f>
        <v>355453.84499999997</v>
      </c>
      <c r="E33" s="16">
        <f>D33*1.15</f>
        <v>408771.92174999992</v>
      </c>
    </row>
    <row r="34" spans="1:11" x14ac:dyDescent="0.25">
      <c r="A34" s="38" t="s">
        <v>13</v>
      </c>
      <c r="B34" s="9"/>
      <c r="C34" s="17">
        <f>SUM(C33)</f>
        <v>309090.3</v>
      </c>
      <c r="D34" s="17">
        <f t="shared" ref="D34:E34" si="5">SUM(D33)</f>
        <v>355453.84499999997</v>
      </c>
      <c r="E34" s="17">
        <f t="shared" si="5"/>
        <v>408771.92174999992</v>
      </c>
    </row>
    <row r="35" spans="1:11" x14ac:dyDescent="0.25">
      <c r="C35" s="6"/>
      <c r="D35" s="6"/>
      <c r="E35" s="6"/>
    </row>
    <row r="36" spans="1:11" x14ac:dyDescent="0.25">
      <c r="A36" s="34" t="s">
        <v>14</v>
      </c>
      <c r="B36" s="10"/>
      <c r="C36" s="17">
        <f>C17+C25+C30+C34</f>
        <v>11257463.056312451</v>
      </c>
      <c r="D36" s="17">
        <f t="shared" ref="D36:E36" si="6">D17+D25+D30+D34</f>
        <v>12370748.504012449</v>
      </c>
      <c r="E36" s="17">
        <f t="shared" si="6"/>
        <v>13650781.557229446</v>
      </c>
    </row>
    <row r="37" spans="1:11" x14ac:dyDescent="0.25">
      <c r="C37" s="5"/>
      <c r="D37" s="5"/>
      <c r="E37" s="5"/>
    </row>
    <row r="38" spans="1:11" x14ac:dyDescent="0.25">
      <c r="A38" s="34" t="s">
        <v>39</v>
      </c>
      <c r="B38" s="10"/>
      <c r="C38" s="47">
        <f>C10-C36</f>
        <v>1398536.9436875489</v>
      </c>
      <c r="D38" s="47">
        <f>D10-D36</f>
        <v>285251.49598755129</v>
      </c>
      <c r="E38" s="47">
        <f>E10-E36</f>
        <v>-994781.55722944625</v>
      </c>
    </row>
    <row r="39" spans="1:11" x14ac:dyDescent="0.25">
      <c r="A39" s="34"/>
      <c r="B39" s="10"/>
      <c r="C39" s="20"/>
      <c r="D39" s="20"/>
      <c r="E39" s="20"/>
    </row>
    <row r="40" spans="1:11" x14ac:dyDescent="0.25">
      <c r="A40" s="34" t="s">
        <v>43</v>
      </c>
      <c r="B40" s="10"/>
      <c r="C40" s="20"/>
      <c r="D40" s="20"/>
      <c r="E40" s="20"/>
    </row>
    <row r="41" spans="1:11" ht="26.25" x14ac:dyDescent="0.25">
      <c r="A41" s="39" t="s">
        <v>44</v>
      </c>
      <c r="B41" s="46">
        <f>SUM(C41:E41)</f>
        <v>731341.75054357445</v>
      </c>
      <c r="C41" s="28">
        <f>C38/1.05^1</f>
        <v>1331939.9463690941</v>
      </c>
      <c r="D41" s="28">
        <f>D38/1.05^2</f>
        <v>258731.51563496716</v>
      </c>
      <c r="E41" s="28">
        <f>E38/1.05^3</f>
        <v>-859329.71146048687</v>
      </c>
      <c r="J41" s="52"/>
      <c r="K41" s="52"/>
    </row>
    <row r="42" spans="1:11" ht="26.25" x14ac:dyDescent="0.25">
      <c r="A42" s="39" t="s">
        <v>45</v>
      </c>
      <c r="B42" s="44">
        <f>-PMT(5%,3,B41)</f>
        <v>268554.95447200804</v>
      </c>
      <c r="C42" s="20"/>
      <c r="J42" s="52"/>
      <c r="K42" s="52"/>
    </row>
    <row r="43" spans="1:11" x14ac:dyDescent="0.25">
      <c r="A43" s="40" t="s">
        <v>29</v>
      </c>
      <c r="B43">
        <f>PMT(5%,3,1)*-1</f>
        <v>0.36720856463124507</v>
      </c>
      <c r="C43" s="20"/>
      <c r="J43" s="52"/>
      <c r="K43" s="52"/>
    </row>
    <row r="44" spans="1:11" ht="26.25" x14ac:dyDescent="0.25">
      <c r="A44" s="39" t="s">
        <v>54</v>
      </c>
      <c r="B44" s="45">
        <f>B42/(B5/2)</f>
        <v>5.3710990894401608E-2</v>
      </c>
      <c r="C44" s="56">
        <f>689006*B43</f>
        <v>253008.90428231563</v>
      </c>
      <c r="D44" s="20"/>
      <c r="E44" s="20"/>
      <c r="J44" s="52"/>
      <c r="K44" s="52"/>
    </row>
    <row r="45" spans="1:11" x14ac:dyDescent="0.25">
      <c r="B45" s="10"/>
      <c r="C45" s="20"/>
      <c r="D45" s="20"/>
      <c r="E45" s="20"/>
      <c r="J45" s="52"/>
      <c r="K45" s="52"/>
    </row>
    <row r="46" spans="1:11" x14ac:dyDescent="0.25">
      <c r="A46" s="33" t="s">
        <v>35</v>
      </c>
      <c r="B46" s="10"/>
      <c r="C46" s="20"/>
      <c r="D46" s="20"/>
      <c r="E46" s="20"/>
      <c r="J46" s="52"/>
      <c r="K46" s="52"/>
    </row>
    <row r="47" spans="1:11" x14ac:dyDescent="0.25">
      <c r="A47" s="39" t="s">
        <v>30</v>
      </c>
      <c r="B47" s="10"/>
      <c r="C47" s="47">
        <f>5000000/3</f>
        <v>1666666.6666666667</v>
      </c>
      <c r="D47" s="47">
        <f t="shared" ref="D47:E47" si="7">5000000/3</f>
        <v>1666666.6666666667</v>
      </c>
      <c r="E47" s="47">
        <f t="shared" si="7"/>
        <v>1666666.6666666667</v>
      </c>
      <c r="J47" s="52"/>
      <c r="K47" s="52"/>
    </row>
    <row r="48" spans="1:11" x14ac:dyDescent="0.25">
      <c r="A48" s="39" t="s">
        <v>31</v>
      </c>
      <c r="B48" s="10"/>
      <c r="C48" s="47">
        <f>5000000*0.06</f>
        <v>300000</v>
      </c>
      <c r="D48" s="47">
        <f>(5000000-C47)*0.06</f>
        <v>199999.99999999997</v>
      </c>
      <c r="E48" s="47">
        <f>(5000000-2*D47)*0.06</f>
        <v>99999.999999999985</v>
      </c>
      <c r="J48" s="52"/>
      <c r="K48" s="52"/>
    </row>
    <row r="49" spans="1:11" x14ac:dyDescent="0.25">
      <c r="A49" s="33" t="s">
        <v>32</v>
      </c>
      <c r="C49" s="48">
        <f>SUM(C47:C48)</f>
        <v>1966666.6666666667</v>
      </c>
      <c r="D49" s="48">
        <f t="shared" ref="D49:E49" si="8">SUM(D47:D48)</f>
        <v>1866666.6666666667</v>
      </c>
      <c r="E49" s="48">
        <f t="shared" si="8"/>
        <v>1766666.6666666667</v>
      </c>
      <c r="J49" s="52"/>
      <c r="K49" s="52"/>
    </row>
    <row r="50" spans="1:11" x14ac:dyDescent="0.25">
      <c r="J50" s="52"/>
      <c r="K50" s="52"/>
    </row>
    <row r="51" spans="1:11" x14ac:dyDescent="0.25">
      <c r="A51" s="34" t="s">
        <v>33</v>
      </c>
      <c r="B51" s="10"/>
      <c r="C51" s="49">
        <f>C38+C17</f>
        <v>5245773.76</v>
      </c>
      <c r="D51" s="49">
        <f>D38+D17</f>
        <v>4134239.8240000019</v>
      </c>
      <c r="E51" s="49">
        <f>E38+E17</f>
        <v>2855975.7976000044</v>
      </c>
      <c r="F51" s="53"/>
      <c r="J51" s="52"/>
      <c r="K51" s="52"/>
    </row>
    <row r="52" spans="1:11" x14ac:dyDescent="0.25">
      <c r="A52" s="34" t="s">
        <v>34</v>
      </c>
      <c r="C52" s="50">
        <f>C51/C49</f>
        <v>2.6673425898305081</v>
      </c>
      <c r="D52" s="50">
        <f t="shared" ref="D52:E52" si="9">D51/D49</f>
        <v>2.2147713342857154</v>
      </c>
      <c r="E52" s="50">
        <f t="shared" si="9"/>
        <v>1.61659007411321</v>
      </c>
      <c r="J52" s="52"/>
      <c r="K52" s="52"/>
    </row>
    <row r="53" spans="1:11" x14ac:dyDescent="0.25">
      <c r="A53" s="34"/>
      <c r="J53" s="52"/>
      <c r="K53" s="52"/>
    </row>
    <row r="54" spans="1:11" x14ac:dyDescent="0.25">
      <c r="A54" s="34" t="s">
        <v>38</v>
      </c>
      <c r="B54" s="57">
        <v>-5000000</v>
      </c>
      <c r="C54" s="47">
        <f>C38+C15+C16-C49</f>
        <v>3279107.0933333328</v>
      </c>
      <c r="D54" s="47">
        <f>D38+D15+D16-D49</f>
        <v>2267573.1573333349</v>
      </c>
      <c r="E54" s="47">
        <f>E38+E15+E16-E49</f>
        <v>1089309.1309333376</v>
      </c>
      <c r="J54" s="52"/>
      <c r="K54" s="52"/>
    </row>
    <row r="55" spans="1:11" ht="30" x14ac:dyDescent="0.25">
      <c r="A55" s="41" t="s">
        <v>50</v>
      </c>
      <c r="B55" s="19"/>
      <c r="C55" s="17"/>
      <c r="D55" s="17"/>
      <c r="E55" s="48">
        <f>E58+B54</f>
        <v>2274038.1445777137</v>
      </c>
      <c r="J55" s="52"/>
      <c r="K55" s="52"/>
    </row>
    <row r="56" spans="1:11" x14ac:dyDescent="0.25">
      <c r="A56" s="34"/>
      <c r="B56" s="19"/>
      <c r="C56" s="58">
        <f>C54*1.04</f>
        <v>3410271.3770666663</v>
      </c>
      <c r="D56" s="58"/>
      <c r="E56" s="58"/>
      <c r="J56" s="52"/>
      <c r="K56" s="52"/>
    </row>
    <row r="57" spans="1:11" x14ac:dyDescent="0.25">
      <c r="A57" s="34"/>
      <c r="B57" s="19"/>
      <c r="C57" s="58"/>
      <c r="D57" s="58">
        <f>(C56+D54)*1.04</f>
        <v>5904958.3157760017</v>
      </c>
      <c r="E57" s="58"/>
      <c r="H57" s="21"/>
      <c r="J57" s="52"/>
      <c r="K57" s="52"/>
    </row>
    <row r="58" spans="1:11" x14ac:dyDescent="0.25">
      <c r="A58" s="34"/>
      <c r="B58" s="19"/>
      <c r="C58" s="58"/>
      <c r="D58" s="58"/>
      <c r="E58" s="58">
        <f>(D57+E54)*1.04</f>
        <v>7274038.1445777137</v>
      </c>
      <c r="H58" s="3"/>
      <c r="J58" s="52"/>
      <c r="K58" s="52"/>
    </row>
    <row r="59" spans="1:11" ht="60" x14ac:dyDescent="0.25">
      <c r="A59" s="41" t="s">
        <v>53</v>
      </c>
      <c r="C59" s="51">
        <f>5000000*1.05</f>
        <v>5250000</v>
      </c>
      <c r="D59" s="51">
        <f>C59*1.05</f>
        <v>5512500</v>
      </c>
      <c r="E59" s="51">
        <f>D59*1.05</f>
        <v>5788125</v>
      </c>
      <c r="J59" s="52"/>
      <c r="K59" s="52"/>
    </row>
    <row r="60" spans="1:11" ht="45" x14ac:dyDescent="0.25">
      <c r="A60" s="41" t="s">
        <v>52</v>
      </c>
      <c r="D60" s="17"/>
      <c r="E60" s="48">
        <f>E59-5000000</f>
        <v>788125</v>
      </c>
      <c r="J60" s="52"/>
      <c r="K60" s="52"/>
    </row>
    <row r="61" spans="1:11" x14ac:dyDescent="0.25">
      <c r="A61" s="34"/>
      <c r="B61" s="19"/>
      <c r="C61" s="17"/>
      <c r="D61" s="17"/>
      <c r="E61" s="17"/>
      <c r="J61" s="52"/>
      <c r="K61" s="52"/>
    </row>
    <row r="62" spans="1:11" ht="48" customHeight="1" x14ac:dyDescent="0.25">
      <c r="A62" s="34"/>
      <c r="B62" s="19"/>
      <c r="C62" s="17"/>
      <c r="D62" s="17"/>
      <c r="E62" s="17"/>
      <c r="J62" s="52"/>
      <c r="K62" s="52"/>
    </row>
    <row r="63" spans="1:11" x14ac:dyDescent="0.25">
      <c r="A63" s="34"/>
      <c r="B63" s="19"/>
      <c r="C63" s="17"/>
      <c r="D63" s="17"/>
      <c r="E63" s="17"/>
      <c r="H63" s="3"/>
      <c r="J63" s="52"/>
      <c r="K63" s="52"/>
    </row>
    <row r="64" spans="1:11" x14ac:dyDescent="0.25">
      <c r="H64" s="3"/>
      <c r="J64" s="52"/>
      <c r="K64" s="52"/>
    </row>
    <row r="65" spans="1:11" x14ac:dyDescent="0.25">
      <c r="C65" s="2"/>
      <c r="D65" s="2"/>
      <c r="E65" s="2"/>
      <c r="H65" s="3"/>
      <c r="J65" s="52"/>
      <c r="K65" s="52"/>
    </row>
    <row r="66" spans="1:11" x14ac:dyDescent="0.25">
      <c r="A66" s="12" t="s">
        <v>46</v>
      </c>
      <c r="B66" s="4"/>
      <c r="C66" s="11"/>
      <c r="D66" s="11"/>
      <c r="E66" s="11"/>
      <c r="J66" s="52"/>
      <c r="K66" s="52"/>
    </row>
    <row r="67" spans="1:11" x14ac:dyDescent="0.25">
      <c r="A67" s="12" t="s">
        <v>15</v>
      </c>
      <c r="B67" s="4"/>
      <c r="C67" s="22">
        <f>C54</f>
        <v>3279107.0933333328</v>
      </c>
      <c r="D67" s="22">
        <f>D54</f>
        <v>2267573.1573333349</v>
      </c>
      <c r="E67" s="22">
        <f>E54</f>
        <v>1089309.1309333376</v>
      </c>
      <c r="J67" s="52"/>
      <c r="K67" s="52"/>
    </row>
    <row r="68" spans="1:11" ht="26.25" x14ac:dyDescent="0.25">
      <c r="A68" s="12" t="s">
        <v>16</v>
      </c>
      <c r="B68" s="12"/>
      <c r="C68" s="29">
        <v>5000000</v>
      </c>
      <c r="D68" s="29">
        <v>4000000</v>
      </c>
      <c r="E68" s="29">
        <v>2000000</v>
      </c>
      <c r="H68" s="3"/>
      <c r="J68" s="52"/>
      <c r="K68" s="52"/>
    </row>
    <row r="69" spans="1:11" x14ac:dyDescent="0.25">
      <c r="J69" s="52"/>
      <c r="K69" s="52"/>
    </row>
    <row r="70" spans="1:11" x14ac:dyDescent="0.25">
      <c r="J70" s="52"/>
      <c r="K70" s="52"/>
    </row>
    <row r="71" spans="1:11" x14ac:dyDescent="0.25">
      <c r="J71" s="52"/>
      <c r="K71" s="52"/>
    </row>
    <row r="72" spans="1:11" x14ac:dyDescent="0.25">
      <c r="A72" s="35" t="s">
        <v>17</v>
      </c>
      <c r="B72" s="4"/>
      <c r="J72" s="52"/>
      <c r="K72" s="52"/>
    </row>
    <row r="73" spans="1:11" x14ac:dyDescent="0.25">
      <c r="C73" t="s">
        <v>19</v>
      </c>
      <c r="D73" t="s">
        <v>20</v>
      </c>
      <c r="E73" t="s">
        <v>21</v>
      </c>
      <c r="F73" t="s">
        <v>47</v>
      </c>
      <c r="J73" s="52"/>
      <c r="K73" s="52"/>
    </row>
    <row r="74" spans="1:11" x14ac:dyDescent="0.25">
      <c r="A74" s="32">
        <v>1</v>
      </c>
      <c r="C74" s="23">
        <f t="array" ref="C74:D76">TRANSPOSE(C67:E68)</f>
        <v>3279107.0933333328</v>
      </c>
      <c r="D74" s="14">
        <v>5000000</v>
      </c>
      <c r="E74" s="31">
        <f>IF(MAX(D74,(C75+E75)/(1+H$75))=D74,D74,(C75+E75)/(1+H$75))</f>
        <v>5969117.2926984141</v>
      </c>
      <c r="F74" s="30" t="str">
        <f t="shared" ref="F74" si="10">IF(E74&gt;D74,"halten","verkaufen")</f>
        <v>halten</v>
      </c>
      <c r="J74" s="52"/>
      <c r="K74" s="52"/>
    </row>
    <row r="75" spans="1:11" x14ac:dyDescent="0.25">
      <c r="A75" s="32">
        <v>2</v>
      </c>
      <c r="C75" s="23">
        <v>2267573.1573333349</v>
      </c>
      <c r="D75" s="14">
        <v>4000000</v>
      </c>
      <c r="E75" s="31">
        <f>IF(MAX(D75,(C76+E76)/(1+H$75))=D75,D75,(C76+E76)/(1+H$75))</f>
        <v>4000000</v>
      </c>
      <c r="F75" s="30" t="str">
        <f>IF(E75&gt;D75,"halten","verkaufen")</f>
        <v>verkaufen</v>
      </c>
      <c r="G75" t="s">
        <v>18</v>
      </c>
      <c r="H75" s="13">
        <v>0.05</v>
      </c>
      <c r="J75" s="52"/>
      <c r="K75" s="52"/>
    </row>
    <row r="76" spans="1:11" x14ac:dyDescent="0.25">
      <c r="A76" s="32">
        <v>3</v>
      </c>
      <c r="C76" s="23">
        <v>1089309.1309333376</v>
      </c>
      <c r="D76" s="14">
        <v>2000000</v>
      </c>
      <c r="E76" s="31">
        <f>D76</f>
        <v>2000000</v>
      </c>
      <c r="F76" s="30" t="str">
        <f>IF(E76&gt;D76,"halten","verkaufen")</f>
        <v>verkaufen</v>
      </c>
      <c r="J76" s="52"/>
      <c r="K76" s="52"/>
    </row>
    <row r="77" spans="1:11" x14ac:dyDescent="0.25">
      <c r="J77" s="52"/>
      <c r="K77" s="52"/>
    </row>
    <row r="78" spans="1:11" x14ac:dyDescent="0.25">
      <c r="C78" t="s">
        <v>48</v>
      </c>
      <c r="D78" s="30">
        <v>2</v>
      </c>
      <c r="E78" s="1" t="s">
        <v>49</v>
      </c>
      <c r="G78" s="15"/>
      <c r="J78" s="52"/>
      <c r="K78" s="52"/>
    </row>
    <row r="79" spans="1:11" x14ac:dyDescent="0.25">
      <c r="J79" s="52"/>
      <c r="K79" s="52"/>
    </row>
    <row r="80" spans="1:11" x14ac:dyDescent="0.25">
      <c r="C80" s="2"/>
      <c r="D80" s="2"/>
      <c r="E80" s="2"/>
    </row>
  </sheetData>
  <mergeCells count="1">
    <mergeCell ref="C3:E3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RowHeight="15" x14ac:dyDescent="0.25"/>
  <cols>
    <col min="1" max="1" width="18.140625" customWidth="1"/>
    <col min="2" max="2" width="14.42578125" customWidth="1"/>
  </cols>
  <sheetData>
    <row r="1" spans="1:1" x14ac:dyDescent="0.25">
      <c r="A1" t="s">
        <v>56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5" x14ac:dyDescent="0.25"/>
  <cols>
    <col min="3" max="4" width="12.28515625" bestFit="1" customWidth="1"/>
  </cols>
  <sheetData>
    <row r="1" spans="1:1" x14ac:dyDescent="0.25">
      <c r="A1" s="55" t="s">
        <v>57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Aufgabe 1</vt:lpstr>
      <vt:lpstr>Aufgabe 2</vt:lpstr>
      <vt:lpstr>Aufgabe 3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${UNAME}</dc:creator>
  <cp:lastModifiedBy>Rechenzentrum</cp:lastModifiedBy>
  <cp:lastPrinted>2015-01-26T09:00:37Z</cp:lastPrinted>
  <dcterms:created xsi:type="dcterms:W3CDTF">2014-12-02T13:40:45Z</dcterms:created>
  <dcterms:modified xsi:type="dcterms:W3CDTF">2015-02-19T23:59:16Z</dcterms:modified>
</cp:coreProperties>
</file>