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Agrartechnik\3.Semester\2021-22\"/>
    </mc:Choice>
  </mc:AlternateContent>
  <xr:revisionPtr revIDLastSave="0" documentId="13_ncr:1_{35A98FD6-524C-4D03-AF71-DB5A12F27080}" xr6:coauthVersionLast="36" xr6:coauthVersionMax="36" xr10:uidLastSave="{00000000-0000-0000-0000-000000000000}"/>
  <bookViews>
    <workbookView xWindow="120" yWindow="72" windowWidth="15180" windowHeight="9348" activeTab="4" xr2:uid="{00000000-000D-0000-FFFF-FFFF00000000}"/>
  </bookViews>
  <sheets>
    <sheet name="F1 DB" sheetId="3" r:id="rId1"/>
    <sheet name="F1a Düngung" sheetId="17" r:id="rId2"/>
    <sheet name="F2 Gewinn" sheetId="7" r:id="rId3"/>
    <sheet name="F3 Faktorentgelt" sheetId="8" r:id="rId4"/>
    <sheet name="F4 Schwellen" sheetId="9" r:id="rId5"/>
    <sheet name="F5 Analyse" sheetId="10" r:id="rId6"/>
  </sheets>
  <externalReferences>
    <externalReference r:id="rId7"/>
  </externalReferences>
  <definedNames>
    <definedName name="Area">"ha"</definedName>
    <definedName name="Curr">'F1 DB'!$S$1</definedName>
    <definedName name="_xlnm.Print_Area" localSheetId="0">'F1 DB'!$A$1:$P$67</definedName>
    <definedName name="_xlnm.Print_Area" localSheetId="1">'F1a Düngung'!$A$1:$W$32</definedName>
    <definedName name="_xlnm.Print_Area" localSheetId="2">'F2 Gewinn'!$A$1:$P$49</definedName>
    <definedName name="_xlnm.Print_Area" localSheetId="3">'F3 Faktorentgelt'!$A$1:$P$55</definedName>
    <definedName name="_xlnm.Print_Area" localSheetId="4">'F4 Schwellen'!$A$1:$P$50</definedName>
    <definedName name="_xlnm.Print_Area" localSheetId="5">'F5 Analyse'!$B$1:$AB$35</definedName>
    <definedName name="Interest">[1]!Interest</definedName>
    <definedName name="MaKo_AV">#REF!</definedName>
    <definedName name="PreisCa">0</definedName>
    <definedName name="PreisK" xml:space="preserve"> 0.45</definedName>
    <definedName name="PreisMg">0</definedName>
    <definedName name="PreisN" xml:space="preserve"> 0.85</definedName>
    <definedName name="PreisP" xml:space="preserve"> 0.8</definedName>
    <definedName name="ProdUnit">'F2 Gewinn'!$T$10</definedName>
    <definedName name="pvVar">'F2 Gewinn'!$T$1</definedName>
    <definedName name="Unit">'F1 DB'!$P$1</definedName>
  </definedNames>
  <calcPr calcId="191029"/>
</workbook>
</file>

<file path=xl/calcChain.xml><?xml version="1.0" encoding="utf-8"?>
<calcChain xmlns="http://schemas.openxmlformats.org/spreadsheetml/2006/main">
  <c r="M63" i="3" l="1"/>
  <c r="P63" i="3"/>
  <c r="L63" i="3"/>
  <c r="T10" i="7" l="1"/>
  <c r="M8" i="8"/>
  <c r="O8" i="8"/>
  <c r="K42" i="3"/>
  <c r="M42" i="3"/>
  <c r="M6" i="3"/>
  <c r="M7" i="3"/>
  <c r="M8" i="3"/>
  <c r="M15" i="3"/>
  <c r="M14" i="3"/>
  <c r="M17" i="3" s="1"/>
  <c r="M16" i="3"/>
  <c r="M67" i="3"/>
  <c r="M40" i="3" s="1"/>
  <c r="M34" i="3"/>
  <c r="M39" i="3" s="1"/>
  <c r="M35" i="3"/>
  <c r="M36" i="3"/>
  <c r="M37" i="3"/>
  <c r="M38" i="3"/>
  <c r="M25" i="3"/>
  <c r="M26" i="3"/>
  <c r="M27" i="3"/>
  <c r="M28" i="3"/>
  <c r="M29" i="3"/>
  <c r="M30" i="3"/>
  <c r="M31" i="3"/>
  <c r="K20" i="3"/>
  <c r="M20" i="3" s="1"/>
  <c r="K21" i="3"/>
  <c r="M21" i="3" s="1"/>
  <c r="K22" i="3"/>
  <c r="M22" i="3" s="1"/>
  <c r="H4" i="7"/>
  <c r="H5" i="7"/>
  <c r="H6" i="7"/>
  <c r="H6" i="8" s="1"/>
  <c r="H7" i="7"/>
  <c r="L67" i="3"/>
  <c r="M6" i="7" s="1"/>
  <c r="P8" i="7"/>
  <c r="E26" i="7" s="1"/>
  <c r="E25" i="7"/>
  <c r="N25" i="7" s="1"/>
  <c r="O6" i="8"/>
  <c r="O4" i="8"/>
  <c r="N34" i="7"/>
  <c r="M5" i="7"/>
  <c r="E37" i="7" s="1"/>
  <c r="N35" i="7"/>
  <c r="N42" i="7"/>
  <c r="N43" i="7"/>
  <c r="M7" i="8"/>
  <c r="E42" i="8" s="1"/>
  <c r="O7" i="8"/>
  <c r="O5" i="8"/>
  <c r="H23" i="8"/>
  <c r="H22" i="8"/>
  <c r="H20" i="8"/>
  <c r="H19" i="8"/>
  <c r="H17" i="8"/>
  <c r="H16" i="8"/>
  <c r="H43" i="8"/>
  <c r="H42" i="8"/>
  <c r="H40" i="8"/>
  <c r="H39" i="8"/>
  <c r="A54" i="8"/>
  <c r="A55" i="8"/>
  <c r="A18" i="8"/>
  <c r="A24" i="8"/>
  <c r="L34" i="7"/>
  <c r="L35" i="7"/>
  <c r="L42" i="7"/>
  <c r="L43" i="7"/>
  <c r="N22" i="3"/>
  <c r="P22" i="3" s="1"/>
  <c r="N21" i="3"/>
  <c r="P21" i="3" s="1"/>
  <c r="N20" i="3"/>
  <c r="P20" i="3" s="1"/>
  <c r="J5" i="3"/>
  <c r="H18" i="3"/>
  <c r="G33" i="10"/>
  <c r="H9" i="8"/>
  <c r="H52" i="8"/>
  <c r="H33" i="8"/>
  <c r="H31" i="7"/>
  <c r="H45" i="7"/>
  <c r="O31" i="8"/>
  <c r="M31" i="8"/>
  <c r="O29" i="8"/>
  <c r="M29" i="8"/>
  <c r="K29" i="8"/>
  <c r="A46" i="8"/>
  <c r="A52" i="8"/>
  <c r="A25" i="8"/>
  <c r="A31" i="8"/>
  <c r="A27" i="8"/>
  <c r="A33" i="8"/>
  <c r="A18" i="7"/>
  <c r="A16" i="7"/>
  <c r="O4" i="9"/>
  <c r="H18" i="9"/>
  <c r="H19" i="9"/>
  <c r="O6" i="9"/>
  <c r="H24" i="9"/>
  <c r="H23" i="9"/>
  <c r="M8" i="9"/>
  <c r="O8" i="9"/>
  <c r="H29" i="9"/>
  <c r="H28" i="9"/>
  <c r="E31" i="9"/>
  <c r="M31" i="9" s="1"/>
  <c r="H31" i="9"/>
  <c r="K31" i="9" s="1"/>
  <c r="E32" i="9"/>
  <c r="H7" i="9"/>
  <c r="H9" i="9"/>
  <c r="A48" i="9"/>
  <c r="E37" i="9"/>
  <c r="N37" i="9" s="1"/>
  <c r="H37" i="9"/>
  <c r="E38" i="9"/>
  <c r="H38" i="9"/>
  <c r="O5" i="9"/>
  <c r="H40" i="9"/>
  <c r="M7" i="9"/>
  <c r="P7" i="9" s="1"/>
  <c r="O7" i="9"/>
  <c r="H43" i="9"/>
  <c r="H45" i="9"/>
  <c r="P45" i="9" s="1"/>
  <c r="H46" i="9"/>
  <c r="P46" i="9" s="1"/>
  <c r="N31" i="9"/>
  <c r="H41" i="9"/>
  <c r="H44" i="9"/>
  <c r="A34" i="9"/>
  <c r="A26" i="9"/>
  <c r="A21" i="9"/>
  <c r="O31" i="9"/>
  <c r="O37" i="9"/>
  <c r="A30" i="7"/>
  <c r="A19" i="7"/>
  <c r="A23" i="7"/>
  <c r="A6" i="3"/>
  <c r="A8" i="3"/>
  <c r="A20" i="3"/>
  <c r="A23" i="3"/>
  <c r="A9" i="3"/>
  <c r="A10" i="3"/>
  <c r="A14" i="3"/>
  <c r="A17" i="3"/>
  <c r="A64" i="3"/>
  <c r="A25" i="3"/>
  <c r="A32" i="3"/>
  <c r="A40" i="3"/>
  <c r="A34" i="3"/>
  <c r="A39" i="3"/>
  <c r="A53" i="3"/>
  <c r="A66" i="3"/>
  <c r="A42" i="3"/>
  <c r="A43" i="3"/>
  <c r="A49" i="3"/>
  <c r="A7" i="7"/>
  <c r="A40" i="7"/>
  <c r="A41" i="7"/>
  <c r="A21" i="7"/>
  <c r="A22" i="7"/>
  <c r="A8" i="7"/>
  <c r="A25" i="7"/>
  <c r="A26" i="7"/>
  <c r="A28" i="7"/>
  <c r="A29" i="7"/>
  <c r="A33" i="7"/>
  <c r="A38" i="7"/>
  <c r="A42" i="7"/>
  <c r="A43" i="7"/>
  <c r="A48" i="3"/>
  <c r="A47" i="3"/>
  <c r="A11" i="3"/>
  <c r="A4" i="7"/>
  <c r="A37" i="7"/>
  <c r="A34" i="7"/>
  <c r="A35" i="7"/>
  <c r="M9" i="3"/>
  <c r="M10" i="3"/>
  <c r="M11" i="3" s="1"/>
  <c r="M44" i="3"/>
  <c r="M45" i="3"/>
  <c r="P7" i="7"/>
  <c r="E41" i="7"/>
  <c r="L41" i="7" s="1"/>
  <c r="A45" i="7"/>
  <c r="A44" i="7"/>
  <c r="A13" i="7"/>
  <c r="H5" i="8"/>
  <c r="E25" i="8"/>
  <c r="H25" i="8"/>
  <c r="P25" i="8"/>
  <c r="E26" i="8"/>
  <c r="K26" i="8" s="1"/>
  <c r="O26" i="8"/>
  <c r="H26" i="8"/>
  <c r="P26" i="8"/>
  <c r="H44" i="8"/>
  <c r="L44" i="8" s="1"/>
  <c r="P44" i="8"/>
  <c r="H45" i="8"/>
  <c r="M45" i="8" s="1"/>
  <c r="E36" i="8"/>
  <c r="H36" i="8"/>
  <c r="E37" i="8"/>
  <c r="H37" i="8"/>
  <c r="O45" i="8"/>
  <c r="N44" i="8"/>
  <c r="L25" i="8"/>
  <c r="K45" i="8"/>
  <c r="H7" i="8"/>
  <c r="O1" i="7"/>
  <c r="V1" i="17" s="1"/>
  <c r="N42" i="3"/>
  <c r="P42" i="3"/>
  <c r="P6" i="3"/>
  <c r="P7" i="3"/>
  <c r="P8" i="3"/>
  <c r="P44" i="3"/>
  <c r="P45" i="3"/>
  <c r="P67" i="3"/>
  <c r="P40" i="3" s="1"/>
  <c r="P34" i="3"/>
  <c r="P35" i="3"/>
  <c r="P36" i="3"/>
  <c r="P37" i="3"/>
  <c r="P38" i="3"/>
  <c r="P25" i="3"/>
  <c r="P26" i="3"/>
  <c r="P27" i="3"/>
  <c r="P28" i="3"/>
  <c r="P29" i="3"/>
  <c r="P30" i="3"/>
  <c r="P31" i="3"/>
  <c r="P14" i="3"/>
  <c r="P15" i="3"/>
  <c r="P16" i="3"/>
  <c r="P9" i="3"/>
  <c r="P10" i="3"/>
  <c r="O67" i="3"/>
  <c r="W1" i="17"/>
  <c r="H8" i="17"/>
  <c r="F32" i="17"/>
  <c r="R28" i="17"/>
  <c r="R20" i="17"/>
  <c r="R12" i="17"/>
  <c r="L24" i="17"/>
  <c r="L25" i="17" s="1"/>
  <c r="L16" i="17"/>
  <c r="L17" i="17" s="1"/>
  <c r="L8" i="17"/>
  <c r="L9" i="17"/>
  <c r="F25" i="17"/>
  <c r="F24" i="17"/>
  <c r="F17" i="17"/>
  <c r="F16" i="17"/>
  <c r="F9" i="17"/>
  <c r="F8" i="17"/>
  <c r="J8" i="17" s="1"/>
  <c r="N8" i="17" s="1"/>
  <c r="A1" i="17"/>
  <c r="A2" i="17"/>
  <c r="A3" i="17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E16" i="17"/>
  <c r="A17" i="17"/>
  <c r="E17" i="17"/>
  <c r="A18" i="17"/>
  <c r="E18" i="17"/>
  <c r="A19" i="17"/>
  <c r="A20" i="17"/>
  <c r="E20" i="17"/>
  <c r="A21" i="17"/>
  <c r="E21" i="17"/>
  <c r="A22" i="17"/>
  <c r="A23" i="17"/>
  <c r="A24" i="17"/>
  <c r="E24" i="17"/>
  <c r="H24" i="17"/>
  <c r="A25" i="17"/>
  <c r="E25" i="17"/>
  <c r="A26" i="17"/>
  <c r="E26" i="17"/>
  <c r="A27" i="17"/>
  <c r="A28" i="17"/>
  <c r="E28" i="17"/>
  <c r="A29" i="17"/>
  <c r="E29" i="17"/>
  <c r="A30" i="17"/>
  <c r="A31" i="17"/>
  <c r="A32" i="17"/>
  <c r="A24" i="7"/>
  <c r="A17" i="7"/>
  <c r="A20" i="7"/>
  <c r="A15" i="7"/>
  <c r="A12" i="7"/>
  <c r="A3" i="7"/>
  <c r="A32" i="7"/>
  <c r="A31" i="7"/>
  <c r="A27" i="7"/>
  <c r="A44" i="3"/>
  <c r="A63" i="3"/>
  <c r="A45" i="3"/>
  <c r="A37" i="3"/>
  <c r="A31" i="3"/>
  <c r="A36" i="3"/>
  <c r="A30" i="3"/>
  <c r="A22" i="3"/>
  <c r="A12" i="3"/>
  <c r="A16" i="3"/>
  <c r="A7" i="3"/>
  <c r="A28" i="9"/>
  <c r="A23" i="9"/>
  <c r="A19" i="9"/>
  <c r="A39" i="9"/>
  <c r="P1" i="7"/>
  <c r="A67" i="3"/>
  <c r="P52" i="3"/>
  <c r="M52" i="3"/>
  <c r="A1" i="3"/>
  <c r="O18" i="3" s="1"/>
  <c r="P41" i="3"/>
  <c r="O41" i="3"/>
  <c r="N41" i="3"/>
  <c r="M41" i="3"/>
  <c r="L41" i="3"/>
  <c r="P33" i="3"/>
  <c r="O33" i="3"/>
  <c r="N33" i="3"/>
  <c r="M33" i="3"/>
  <c r="L33" i="3"/>
  <c r="P24" i="3"/>
  <c r="O24" i="3"/>
  <c r="N24" i="3"/>
  <c r="M24" i="3"/>
  <c r="L24" i="3"/>
  <c r="I24" i="3"/>
  <c r="P19" i="3"/>
  <c r="N19" i="3"/>
  <c r="O19" i="3"/>
  <c r="M19" i="3"/>
  <c r="L19" i="3"/>
  <c r="P13" i="3"/>
  <c r="O13" i="3"/>
  <c r="N13" i="3"/>
  <c r="M13" i="3"/>
  <c r="L13" i="3"/>
  <c r="P4" i="3"/>
  <c r="O4" i="3"/>
  <c r="N4" i="3"/>
  <c r="M4" i="3"/>
  <c r="L4" i="3"/>
  <c r="H55" i="8"/>
  <c r="H54" i="8"/>
  <c r="A29" i="8"/>
  <c r="A28" i="8"/>
  <c r="A26" i="8"/>
  <c r="O50" i="8"/>
  <c r="M50" i="8"/>
  <c r="O48" i="8"/>
  <c r="M48" i="8"/>
  <c r="K48" i="8"/>
  <c r="P74" i="8"/>
  <c r="P76" i="8"/>
  <c r="O74" i="8"/>
  <c r="O76" i="8"/>
  <c r="N74" i="8"/>
  <c r="N76" i="8"/>
  <c r="M74" i="8"/>
  <c r="M76" i="8"/>
  <c r="L74" i="8"/>
  <c r="L76" i="8"/>
  <c r="K74" i="8"/>
  <c r="K76" i="8"/>
  <c r="O75" i="8"/>
  <c r="M75" i="8"/>
  <c r="P73" i="8"/>
  <c r="N73" i="8"/>
  <c r="L73" i="8"/>
  <c r="K73" i="8"/>
  <c r="A48" i="8"/>
  <c r="A51" i="8"/>
  <c r="A50" i="8"/>
  <c r="A49" i="8"/>
  <c r="A47" i="8"/>
  <c r="H51" i="8"/>
  <c r="I49" i="8"/>
  <c r="H49" i="8"/>
  <c r="I47" i="8"/>
  <c r="H47" i="8"/>
  <c r="P1" i="9"/>
  <c r="P1" i="8"/>
  <c r="A49" i="7"/>
  <c r="A48" i="7"/>
  <c r="A47" i="7"/>
  <c r="I29" i="7"/>
  <c r="I26" i="8" s="1"/>
  <c r="F26" i="8"/>
  <c r="I28" i="7"/>
  <c r="I25" i="8"/>
  <c r="F25" i="8"/>
  <c r="C8" i="8"/>
  <c r="C6" i="8"/>
  <c r="C5" i="8"/>
  <c r="C4" i="8"/>
  <c r="O1" i="8"/>
  <c r="A50" i="9"/>
  <c r="A49" i="9"/>
  <c r="L48" i="9"/>
  <c r="L47" i="9"/>
  <c r="I34" i="9"/>
  <c r="I33" i="9"/>
  <c r="I26" i="9"/>
  <c r="I25" i="9"/>
  <c r="I21" i="9"/>
  <c r="I20" i="9"/>
  <c r="I13" i="9"/>
  <c r="F38" i="9"/>
  <c r="F37" i="9"/>
  <c r="F41" i="9"/>
  <c r="F40" i="9"/>
  <c r="F19" i="9"/>
  <c r="F18" i="9"/>
  <c r="K32" i="9"/>
  <c r="A43" i="9"/>
  <c r="A42" i="9"/>
  <c r="A41" i="9"/>
  <c r="A40" i="9"/>
  <c r="A38" i="9"/>
  <c r="A37" i="9"/>
  <c r="A36" i="9"/>
  <c r="A35" i="9"/>
  <c r="A33" i="9"/>
  <c r="A32" i="9"/>
  <c r="A31" i="9"/>
  <c r="A30" i="9"/>
  <c r="A29" i="9"/>
  <c r="A27" i="9"/>
  <c r="A25" i="9"/>
  <c r="A24" i="9"/>
  <c r="A22" i="9"/>
  <c r="A20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I12" i="7"/>
  <c r="A2" i="8"/>
  <c r="A2" i="9"/>
  <c r="A2" i="7"/>
  <c r="F37" i="8"/>
  <c r="F36" i="8"/>
  <c r="A53" i="8"/>
  <c r="A45" i="8"/>
  <c r="A44" i="8"/>
  <c r="A43" i="8"/>
  <c r="A42" i="8"/>
  <c r="A41" i="8"/>
  <c r="A40" i="8"/>
  <c r="A39" i="8"/>
  <c r="A38" i="8"/>
  <c r="A37" i="8"/>
  <c r="A36" i="8"/>
  <c r="A35" i="8"/>
  <c r="A34" i="8"/>
  <c r="A32" i="8"/>
  <c r="A30" i="8"/>
  <c r="A23" i="8"/>
  <c r="A22" i="8"/>
  <c r="A21" i="8"/>
  <c r="A20" i="8"/>
  <c r="A19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F17" i="8"/>
  <c r="F16" i="8"/>
  <c r="F40" i="8"/>
  <c r="F39" i="8"/>
  <c r="I12" i="8"/>
  <c r="G22" i="10"/>
  <c r="G21" i="10"/>
  <c r="N5" i="7"/>
  <c r="N4" i="7"/>
  <c r="F38" i="7"/>
  <c r="F37" i="7"/>
  <c r="F35" i="7"/>
  <c r="F34" i="7"/>
  <c r="F18" i="7"/>
  <c r="F17" i="7"/>
  <c r="P35" i="7"/>
  <c r="P34" i="7"/>
  <c r="R7" i="7"/>
  <c r="G24" i="10"/>
  <c r="A1" i="8"/>
  <c r="A39" i="7"/>
  <c r="A36" i="7"/>
  <c r="A14" i="7"/>
  <c r="A11" i="7"/>
  <c r="A10" i="7"/>
  <c r="A9" i="7"/>
  <c r="A6" i="7"/>
  <c r="A5" i="7"/>
  <c r="G34" i="10"/>
  <c r="E15" i="10"/>
  <c r="U28" i="10" s="1"/>
  <c r="L28" i="7"/>
  <c r="L29" i="7"/>
  <c r="G16" i="10"/>
  <c r="K16" i="10"/>
  <c r="E21" i="10"/>
  <c r="E22" i="10"/>
  <c r="E24" i="10"/>
  <c r="K24" i="10" s="1"/>
  <c r="G25" i="10"/>
  <c r="K25" i="10" s="1"/>
  <c r="G26" i="10"/>
  <c r="K26" i="10" s="1"/>
  <c r="T26" i="10" s="1"/>
  <c r="G7" i="10"/>
  <c r="O16" i="10"/>
  <c r="H34" i="10"/>
  <c r="U18" i="10"/>
  <c r="AE18" i="10"/>
  <c r="AA14" i="10" s="1"/>
  <c r="P25" i="7"/>
  <c r="P28" i="7"/>
  <c r="E40" i="7"/>
  <c r="P42" i="7"/>
  <c r="P43" i="7"/>
  <c r="N28" i="7"/>
  <c r="N29" i="7"/>
  <c r="H33" i="10"/>
  <c r="C7" i="9"/>
  <c r="I9" i="9"/>
  <c r="I52" i="8"/>
  <c r="I33" i="8"/>
  <c r="I9" i="8"/>
  <c r="I9" i="7"/>
  <c r="AA19" i="10"/>
  <c r="I7" i="7"/>
  <c r="I31" i="7" s="1"/>
  <c r="I45" i="7"/>
  <c r="H32" i="8"/>
  <c r="H30" i="8"/>
  <c r="H26" i="10"/>
  <c r="H25" i="10"/>
  <c r="H24" i="10"/>
  <c r="H15" i="10"/>
  <c r="H16" i="10"/>
  <c r="H13" i="10"/>
  <c r="H9" i="10"/>
  <c r="H8" i="10"/>
  <c r="U7" i="7"/>
  <c r="I32" i="9"/>
  <c r="I31" i="9"/>
  <c r="F32" i="9"/>
  <c r="F31" i="9"/>
  <c r="H28" i="8"/>
  <c r="I30" i="8"/>
  <c r="I28" i="8"/>
  <c r="A46" i="7"/>
  <c r="A2" i="3"/>
  <c r="A3" i="3"/>
  <c r="A4" i="3"/>
  <c r="A5" i="3"/>
  <c r="A13" i="3"/>
  <c r="A15" i="3"/>
  <c r="A18" i="3"/>
  <c r="A19" i="3"/>
  <c r="A21" i="3"/>
  <c r="A24" i="3"/>
  <c r="A26" i="3"/>
  <c r="A27" i="3"/>
  <c r="A28" i="3"/>
  <c r="A29" i="3"/>
  <c r="A33" i="3"/>
  <c r="A35" i="3"/>
  <c r="A38" i="3"/>
  <c r="A41" i="3"/>
  <c r="A46" i="3"/>
  <c r="A50" i="3"/>
  <c r="A51" i="3"/>
  <c r="A52" i="3"/>
  <c r="A54" i="3"/>
  <c r="A55" i="3"/>
  <c r="A56" i="3"/>
  <c r="A57" i="3"/>
  <c r="A58" i="3"/>
  <c r="A59" i="3"/>
  <c r="A61" i="3"/>
  <c r="A62" i="3"/>
  <c r="A65" i="3"/>
  <c r="A1" i="7"/>
  <c r="I4" i="7"/>
  <c r="S6" i="7"/>
  <c r="I5" i="7"/>
  <c r="S7" i="7"/>
  <c r="I6" i="7"/>
  <c r="I8" i="7"/>
  <c r="S8" i="7"/>
  <c r="I22" i="7"/>
  <c r="I21" i="7"/>
  <c r="I26" i="7"/>
  <c r="I25" i="7"/>
  <c r="I41" i="7"/>
  <c r="I40" i="7"/>
  <c r="I42" i="7"/>
  <c r="I43" i="7"/>
  <c r="A3" i="8"/>
  <c r="A4" i="8"/>
  <c r="I4" i="8"/>
  <c r="I5" i="8"/>
  <c r="I7" i="8"/>
  <c r="N4" i="8"/>
  <c r="I6" i="8"/>
  <c r="N5" i="8"/>
  <c r="I8" i="8"/>
  <c r="I44" i="8"/>
  <c r="I45" i="8"/>
  <c r="I20" i="8"/>
  <c r="I19" i="8"/>
  <c r="I43" i="8"/>
  <c r="I42" i="8"/>
  <c r="I23" i="8"/>
  <c r="I22" i="8"/>
  <c r="M45" i="9"/>
  <c r="M46" i="9"/>
  <c r="A1" i="9"/>
  <c r="O1" i="9"/>
  <c r="C4" i="9"/>
  <c r="I4" i="9"/>
  <c r="C5" i="9"/>
  <c r="H5" i="9"/>
  <c r="I5" i="9"/>
  <c r="I7" i="9"/>
  <c r="N4" i="9"/>
  <c r="C6" i="9"/>
  <c r="I6" i="9"/>
  <c r="N5" i="9"/>
  <c r="C8" i="9"/>
  <c r="I8" i="9"/>
  <c r="I24" i="9"/>
  <c r="I23" i="9"/>
  <c r="I29" i="9"/>
  <c r="I28" i="9"/>
  <c r="I44" i="9"/>
  <c r="A44" i="9"/>
  <c r="I43" i="9"/>
  <c r="A45" i="9"/>
  <c r="I45" i="9"/>
  <c r="A46" i="9"/>
  <c r="I46" i="9"/>
  <c r="A47" i="9"/>
  <c r="L1" i="10"/>
  <c r="U1" i="10"/>
  <c r="F11" i="10"/>
  <c r="F21" i="10"/>
  <c r="F22" i="10"/>
  <c r="F23" i="10"/>
  <c r="S25" i="10"/>
  <c r="T16" i="10"/>
  <c r="Y16" i="10"/>
  <c r="U16" i="10"/>
  <c r="S16" i="10"/>
  <c r="S24" i="10"/>
  <c r="H7" i="10"/>
  <c r="AA34" i="10"/>
  <c r="O25" i="8"/>
  <c r="P45" i="8"/>
  <c r="N45" i="8"/>
  <c r="L45" i="8"/>
  <c r="P16" i="9"/>
  <c r="N16" i="9"/>
  <c r="P8" i="9"/>
  <c r="E29" i="9" s="1"/>
  <c r="E28" i="9"/>
  <c r="O28" i="9" s="1"/>
  <c r="R8" i="7"/>
  <c r="G15" i="10" s="1"/>
  <c r="K15" i="10" s="1"/>
  <c r="O15" i="10" s="1"/>
  <c r="M32" i="9"/>
  <c r="L32" i="9"/>
  <c r="N32" i="9"/>
  <c r="AA12" i="10"/>
  <c r="K25" i="8"/>
  <c r="M25" i="8"/>
  <c r="N25" i="8"/>
  <c r="K43" i="3"/>
  <c r="M43" i="3" s="1"/>
  <c r="M46" i="3" s="1"/>
  <c r="K44" i="8"/>
  <c r="M44" i="8"/>
  <c r="M26" i="8"/>
  <c r="O44" i="8"/>
  <c r="P37" i="9"/>
  <c r="N26" i="8"/>
  <c r="N28" i="9"/>
  <c r="N46" i="9" l="1"/>
  <c r="O46" i="9"/>
  <c r="K22" i="10"/>
  <c r="P37" i="8"/>
  <c r="M38" i="9"/>
  <c r="M5" i="9"/>
  <c r="P5" i="9" s="1"/>
  <c r="E41" i="9" s="1"/>
  <c r="K21" i="10"/>
  <c r="T21" i="10" s="1"/>
  <c r="M37" i="9"/>
  <c r="P8" i="8"/>
  <c r="L25" i="7"/>
  <c r="E22" i="8"/>
  <c r="M22" i="8" s="1"/>
  <c r="N41" i="7"/>
  <c r="P7" i="8"/>
  <c r="E43" i="8" s="1"/>
  <c r="L16" i="9"/>
  <c r="L37" i="7"/>
  <c r="N37" i="7"/>
  <c r="P37" i="7"/>
  <c r="AA29" i="10"/>
  <c r="AA33" i="10"/>
  <c r="M5" i="8"/>
  <c r="P5" i="8" s="1"/>
  <c r="P5" i="7"/>
  <c r="K43" i="8"/>
  <c r="M6" i="8"/>
  <c r="E19" i="8" s="1"/>
  <c r="O19" i="8" s="1"/>
  <c r="E21" i="7"/>
  <c r="L21" i="7" s="1"/>
  <c r="P6" i="7"/>
  <c r="E22" i="7" s="1"/>
  <c r="N22" i="7" s="1"/>
  <c r="E13" i="10"/>
  <c r="T18" i="10" s="1"/>
  <c r="M6" i="9"/>
  <c r="P6" i="9" s="1"/>
  <c r="E24" i="9" s="1"/>
  <c r="L24" i="9" s="1"/>
  <c r="P39" i="3"/>
  <c r="M32" i="3"/>
  <c r="P32" i="3"/>
  <c r="H9" i="17"/>
  <c r="J9" i="17" s="1"/>
  <c r="P12" i="17" s="1"/>
  <c r="N12" i="17" s="1"/>
  <c r="J24" i="17"/>
  <c r="N24" i="17" s="1"/>
  <c r="P17" i="3"/>
  <c r="N43" i="3"/>
  <c r="P43" i="3" s="1"/>
  <c r="P46" i="3" s="1"/>
  <c r="H17" i="17"/>
  <c r="J17" i="17" s="1"/>
  <c r="H25" i="17"/>
  <c r="J25" i="17" s="1"/>
  <c r="N25" i="17" s="1"/>
  <c r="P23" i="3"/>
  <c r="H16" i="17"/>
  <c r="J16" i="17" s="1"/>
  <c r="N16" i="17" s="1"/>
  <c r="J42" i="3"/>
  <c r="L18" i="3"/>
  <c r="U22" i="10"/>
  <c r="Y22" i="10"/>
  <c r="O22" i="10"/>
  <c r="S22" i="10"/>
  <c r="T22" i="10"/>
  <c r="O21" i="10"/>
  <c r="U21" i="10"/>
  <c r="S21" i="10"/>
  <c r="Y21" i="10"/>
  <c r="M41" i="9"/>
  <c r="N41" i="9"/>
  <c r="L26" i="7"/>
  <c r="N26" i="7"/>
  <c r="L28" i="9"/>
  <c r="K28" i="9"/>
  <c r="M28" i="9"/>
  <c r="P28" i="9"/>
  <c r="N40" i="7"/>
  <c r="L40" i="7"/>
  <c r="P40" i="7"/>
  <c r="E23" i="10"/>
  <c r="N13" i="7"/>
  <c r="H4" i="9"/>
  <c r="E7" i="10"/>
  <c r="H4" i="8"/>
  <c r="K13" i="8" s="1"/>
  <c r="L43" i="8"/>
  <c r="O43" i="8"/>
  <c r="O42" i="8"/>
  <c r="L42" i="8"/>
  <c r="N42" i="8"/>
  <c r="P42" i="8"/>
  <c r="K42" i="8"/>
  <c r="S26" i="10"/>
  <c r="O26" i="10"/>
  <c r="Y26" i="10"/>
  <c r="U26" i="10"/>
  <c r="M29" i="9"/>
  <c r="L29" i="9"/>
  <c r="K29" i="9"/>
  <c r="N29" i="9"/>
  <c r="T25" i="10"/>
  <c r="Y25" i="10"/>
  <c r="U25" i="10"/>
  <c r="O25" i="10"/>
  <c r="K36" i="8"/>
  <c r="O36" i="8"/>
  <c r="M36" i="8"/>
  <c r="P36" i="8"/>
  <c r="L36" i="8"/>
  <c r="N36" i="8"/>
  <c r="M23" i="3"/>
  <c r="M47" i="3" s="1"/>
  <c r="P43" i="8"/>
  <c r="Y24" i="10"/>
  <c r="U24" i="10"/>
  <c r="O24" i="10"/>
  <c r="S15" i="10"/>
  <c r="Y15" i="10"/>
  <c r="T15" i="10"/>
  <c r="P11" i="3"/>
  <c r="O45" i="9"/>
  <c r="O38" i="9"/>
  <c r="T28" i="10"/>
  <c r="E23" i="8"/>
  <c r="L26" i="8"/>
  <c r="H6" i="9"/>
  <c r="N38" i="9"/>
  <c r="E44" i="9"/>
  <c r="AA10" i="10"/>
  <c r="G8" i="10"/>
  <c r="M37" i="8"/>
  <c r="N37" i="8"/>
  <c r="L31" i="9"/>
  <c r="N45" i="9"/>
  <c r="P31" i="9"/>
  <c r="O37" i="8"/>
  <c r="L37" i="8"/>
  <c r="P38" i="9"/>
  <c r="E43" i="9"/>
  <c r="F7" i="10"/>
  <c r="N22" i="8"/>
  <c r="K37" i="8"/>
  <c r="E40" i="9" l="1"/>
  <c r="M40" i="9"/>
  <c r="N40" i="9"/>
  <c r="E39" i="8"/>
  <c r="L22" i="8"/>
  <c r="P22" i="8"/>
  <c r="K22" i="8"/>
  <c r="L22" i="7"/>
  <c r="N26" i="17"/>
  <c r="R5" i="7"/>
  <c r="G23" i="10" s="1"/>
  <c r="K23" i="10" s="1"/>
  <c r="Y23" i="10" s="1"/>
  <c r="E38" i="7"/>
  <c r="E40" i="8"/>
  <c r="P40" i="8" s="1"/>
  <c r="M24" i="9"/>
  <c r="N24" i="9"/>
  <c r="N21" i="7"/>
  <c r="P21" i="7"/>
  <c r="N19" i="8"/>
  <c r="E23" i="9"/>
  <c r="P23" i="9" s="1"/>
  <c r="R6" i="7"/>
  <c r="G13" i="10" s="1"/>
  <c r="K13" i="10" s="1"/>
  <c r="Y13" i="10" s="1"/>
  <c r="K24" i="9"/>
  <c r="K19" i="8"/>
  <c r="P19" i="8"/>
  <c r="L19" i="8"/>
  <c r="P6" i="8"/>
  <c r="E20" i="8" s="1"/>
  <c r="N30" i="8" s="1"/>
  <c r="P20" i="17"/>
  <c r="N20" i="17" s="1"/>
  <c r="N17" i="17"/>
  <c r="N18" i="17" s="1"/>
  <c r="N9" i="17"/>
  <c r="N10" i="17" s="1"/>
  <c r="N13" i="17" s="1"/>
  <c r="P28" i="17"/>
  <c r="N28" i="17" s="1"/>
  <c r="N29" i="17" s="1"/>
  <c r="P47" i="3"/>
  <c r="P49" i="3" s="1"/>
  <c r="M49" i="3"/>
  <c r="M4" i="7" s="1"/>
  <c r="H8" i="7"/>
  <c r="M48" i="3"/>
  <c r="M44" i="9"/>
  <c r="N44" i="9"/>
  <c r="P39" i="8"/>
  <c r="M39" i="8"/>
  <c r="N39" i="8"/>
  <c r="L39" i="8"/>
  <c r="O39" i="8"/>
  <c r="P13" i="7"/>
  <c r="O43" i="9"/>
  <c r="P43" i="9"/>
  <c r="M43" i="9"/>
  <c r="N43" i="9"/>
  <c r="P15" i="9"/>
  <c r="N15" i="9"/>
  <c r="O15" i="9"/>
  <c r="M15" i="9"/>
  <c r="L15" i="9"/>
  <c r="K15" i="9"/>
  <c r="O8" i="10"/>
  <c r="T8" i="10"/>
  <c r="U8" i="10"/>
  <c r="Y8" i="10"/>
  <c r="S8" i="10"/>
  <c r="P49" i="8"/>
  <c r="M23" i="8"/>
  <c r="K23" i="8"/>
  <c r="P54" i="8" s="1"/>
  <c r="L23" i="8"/>
  <c r="O49" i="8"/>
  <c r="P30" i="8"/>
  <c r="O30" i="8"/>
  <c r="N23" i="8"/>
  <c r="O13" i="8"/>
  <c r="P13" i="8"/>
  <c r="L13" i="8"/>
  <c r="N13" i="8"/>
  <c r="M13" i="8"/>
  <c r="O7" i="10"/>
  <c r="S7" i="10"/>
  <c r="T7" i="10"/>
  <c r="U7" i="10"/>
  <c r="O40" i="9" l="1"/>
  <c r="P40" i="9"/>
  <c r="P55" i="8"/>
  <c r="O55" i="8"/>
  <c r="O54" i="8"/>
  <c r="T23" i="10"/>
  <c r="M40" i="8"/>
  <c r="N40" i="8"/>
  <c r="U23" i="10"/>
  <c r="O23" i="10"/>
  <c r="O40" i="8"/>
  <c r="L38" i="7"/>
  <c r="N38" i="7"/>
  <c r="N49" i="8"/>
  <c r="O20" i="8"/>
  <c r="U13" i="10"/>
  <c r="O13" i="10"/>
  <c r="S13" i="10"/>
  <c r="M49" i="8"/>
  <c r="M30" i="8"/>
  <c r="M55" i="8"/>
  <c r="P20" i="8"/>
  <c r="M54" i="8" s="1"/>
  <c r="N55" i="8"/>
  <c r="K23" i="9"/>
  <c r="L20" i="8"/>
  <c r="M23" i="9"/>
  <c r="K20" i="8"/>
  <c r="O23" i="9"/>
  <c r="L23" i="9"/>
  <c r="T7" i="7"/>
  <c r="N23" i="9"/>
  <c r="N21" i="17"/>
  <c r="P48" i="3"/>
  <c r="N14" i="7"/>
  <c r="N15" i="7" s="1"/>
  <c r="G9" i="10"/>
  <c r="K9" i="10" s="1"/>
  <c r="L14" i="7"/>
  <c r="L15" i="7" s="1"/>
  <c r="P14" i="7"/>
  <c r="P15" i="7" s="1"/>
  <c r="H8" i="9"/>
  <c r="K14" i="9" s="1"/>
  <c r="H8" i="8"/>
  <c r="K14" i="8" s="1"/>
  <c r="M4" i="9"/>
  <c r="E17" i="7"/>
  <c r="E11" i="10"/>
  <c r="P4" i="7"/>
  <c r="R4" i="7" s="1"/>
  <c r="M4" i="8"/>
  <c r="N54" i="8" l="1"/>
  <c r="G11" i="10"/>
  <c r="K11" i="10" s="1"/>
  <c r="K12" i="10" s="1"/>
  <c r="K14" i="10" s="1"/>
  <c r="K19" i="10" s="1"/>
  <c r="K29" i="10" s="1"/>
  <c r="T5" i="7"/>
  <c r="E18" i="7"/>
  <c r="P4" i="8"/>
  <c r="E17" i="8" s="1"/>
  <c r="E16" i="8"/>
  <c r="P14" i="9"/>
  <c r="N14" i="9"/>
  <c r="L14" i="9"/>
  <c r="O14" i="9"/>
  <c r="M14" i="9"/>
  <c r="S18" i="10"/>
  <c r="S28" i="10"/>
  <c r="N17" i="7"/>
  <c r="L17" i="7"/>
  <c r="P17" i="7"/>
  <c r="P19" i="7" s="1"/>
  <c r="P23" i="7" s="1"/>
  <c r="P30" i="7" s="1"/>
  <c r="P4" i="9"/>
  <c r="E19" i="9" s="1"/>
  <c r="E18" i="9"/>
  <c r="U9" i="10"/>
  <c r="T9" i="10"/>
  <c r="Y9" i="10"/>
  <c r="Y10" i="10" s="1"/>
  <c r="Z10" i="10" s="1"/>
  <c r="S9" i="10"/>
  <c r="O9" i="10"/>
  <c r="O10" i="10" s="1"/>
  <c r="O14" i="8"/>
  <c r="M14" i="8"/>
  <c r="N14" i="8"/>
  <c r="P14" i="8"/>
  <c r="L14" i="8"/>
  <c r="K28" i="8"/>
  <c r="K47" i="8" s="1"/>
  <c r="P44" i="7" l="1"/>
  <c r="P45" i="7" s="1"/>
  <c r="P31" i="7"/>
  <c r="L18" i="9"/>
  <c r="N18" i="9"/>
  <c r="M18" i="9"/>
  <c r="O18" i="9"/>
  <c r="O20" i="9" s="1"/>
  <c r="K18" i="9"/>
  <c r="P18" i="9"/>
  <c r="O16" i="8"/>
  <c r="P16" i="8"/>
  <c r="M16" i="8"/>
  <c r="L16" i="8"/>
  <c r="L28" i="8" s="1"/>
  <c r="L47" i="8" s="1"/>
  <c r="N16" i="8"/>
  <c r="L19" i="9"/>
  <c r="N19" i="9"/>
  <c r="M19" i="9"/>
  <c r="K19" i="9"/>
  <c r="O17" i="8"/>
  <c r="L49" i="8"/>
  <c r="P17" i="8"/>
  <c r="L54" i="8" s="1"/>
  <c r="K49" i="8"/>
  <c r="M17" i="8"/>
  <c r="N17" i="8"/>
  <c r="L30" i="8"/>
  <c r="K30" i="8"/>
  <c r="L18" i="7"/>
  <c r="P46" i="7" s="1"/>
  <c r="N18" i="7"/>
  <c r="N19" i="7" s="1"/>
  <c r="N23" i="7" s="1"/>
  <c r="N30" i="7" s="1"/>
  <c r="P20" i="9"/>
  <c r="T11" i="10"/>
  <c r="T17" i="10" s="1"/>
  <c r="O11" i="10"/>
  <c r="O12" i="10" s="1"/>
  <c r="O14" i="10" s="1"/>
  <c r="O19" i="10" s="1"/>
  <c r="U11" i="10"/>
  <c r="U27" i="10" s="1"/>
  <c r="Y11" i="10"/>
  <c r="Y12" i="10" s="1"/>
  <c r="S17" i="10"/>
  <c r="S27" i="10"/>
  <c r="U29" i="10" l="1"/>
  <c r="U34" i="10"/>
  <c r="S19" i="10"/>
  <c r="S33" i="10"/>
  <c r="S29" i="10"/>
  <c r="S34" i="10"/>
  <c r="O29" i="10"/>
  <c r="O34" i="10" s="1"/>
  <c r="O33" i="10"/>
  <c r="N44" i="7"/>
  <c r="N45" i="7" s="1"/>
  <c r="N31" i="7"/>
  <c r="T19" i="10"/>
  <c r="T33" i="10"/>
  <c r="L52" i="8"/>
  <c r="K32" i="8"/>
  <c r="K33" i="8"/>
  <c r="K51" i="8"/>
  <c r="K52" i="8"/>
  <c r="L33" i="8"/>
  <c r="K55" i="8"/>
  <c r="K54" i="8"/>
  <c r="L55" i="8"/>
  <c r="L51" i="8"/>
  <c r="L32" i="8"/>
  <c r="M28" i="8"/>
  <c r="M33" i="8" s="1"/>
  <c r="N20" i="9"/>
  <c r="N25" i="9" s="1"/>
  <c r="L20" i="9"/>
  <c r="L25" i="9" s="1"/>
  <c r="P28" i="8"/>
  <c r="N28" i="8"/>
  <c r="N33" i="8" s="1"/>
  <c r="O25" i="9"/>
  <c r="O21" i="9"/>
  <c r="M20" i="9"/>
  <c r="Y14" i="10"/>
  <c r="Z12" i="10"/>
  <c r="P25" i="9"/>
  <c r="P21" i="9"/>
  <c r="T27" i="10"/>
  <c r="O28" i="8"/>
  <c r="K20" i="9"/>
  <c r="U17" i="10"/>
  <c r="L19" i="7"/>
  <c r="L23" i="7" s="1"/>
  <c r="L30" i="7" s="1"/>
  <c r="U19" i="10" l="1"/>
  <c r="U33" i="10"/>
  <c r="O47" i="8"/>
  <c r="O33" i="8"/>
  <c r="O32" i="8"/>
  <c r="P47" i="8"/>
  <c r="P32" i="8"/>
  <c r="P33" i="8"/>
  <c r="L44" i="7"/>
  <c r="L45" i="7" s="1"/>
  <c r="L31" i="7"/>
  <c r="T29" i="10"/>
  <c r="T34" i="10"/>
  <c r="M47" i="8"/>
  <c r="M32" i="8"/>
  <c r="N47" i="8"/>
  <c r="N32" i="8"/>
  <c r="N21" i="9"/>
  <c r="L21" i="9"/>
  <c r="K25" i="9"/>
  <c r="K21" i="9"/>
  <c r="O33" i="9"/>
  <c r="O26" i="9"/>
  <c r="N33" i="9"/>
  <c r="N26" i="9"/>
  <c r="M25" i="9"/>
  <c r="M21" i="9"/>
  <c r="P33" i="9"/>
  <c r="P26" i="9"/>
  <c r="Y19" i="10"/>
  <c r="Y33" i="10" s="1"/>
  <c r="Z33" i="10" s="1"/>
  <c r="Z14" i="10"/>
  <c r="L33" i="9"/>
  <c r="L34" i="9" s="1"/>
  <c r="L26" i="9"/>
  <c r="O51" i="8" l="1"/>
  <c r="O52" i="8"/>
  <c r="P52" i="8"/>
  <c r="P51" i="8"/>
  <c r="N51" i="8"/>
  <c r="N52" i="8"/>
  <c r="M51" i="8"/>
  <c r="M52" i="8"/>
  <c r="M33" i="9"/>
  <c r="M26" i="9"/>
  <c r="N47" i="9"/>
  <c r="N48" i="9" s="1"/>
  <c r="N34" i="9"/>
  <c r="Y29" i="10"/>
  <c r="Z19" i="10"/>
  <c r="O47" i="9"/>
  <c r="O48" i="9" s="1"/>
  <c r="O34" i="9"/>
  <c r="P47" i="9"/>
  <c r="P48" i="9" s="1"/>
  <c r="P34" i="9"/>
  <c r="K33" i="9"/>
  <c r="K34" i="9" s="1"/>
  <c r="K26" i="9"/>
  <c r="Z29" i="10" l="1"/>
  <c r="Y34" i="10"/>
  <c r="Z34" i="10" s="1"/>
  <c r="M47" i="9"/>
  <c r="M48" i="9" s="1"/>
  <c r="M3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Christian.Schuh@fh-weihenstephan.de</author>
    <author>Ch. Schuh</author>
  </authors>
  <commentList>
    <comment ref="L1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Eingabezelle</t>
        </r>
      </text>
    </comment>
    <comment ref="U1" authorId="0" shapeId="0" xr:uid="{00000000-0006-0000-0500-000002000000}">
      <text>
        <r>
          <rPr>
            <b/>
            <sz val="8"/>
            <color indexed="81"/>
            <rFont val="Tahoma"/>
            <family val="2"/>
          </rPr>
          <t>Eingabezelle</t>
        </r>
      </text>
    </comment>
    <comment ref="E7" authorId="1" shapeId="0" xr:uid="{00000000-0006-0000-0500-000003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G7" authorId="1" shapeId="0" xr:uid="{00000000-0006-0000-0500-000004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G8" authorId="1" shapeId="0" xr:uid="{00000000-0006-0000-0500-000005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G9" authorId="1" shapeId="0" xr:uid="{00000000-0006-0000-0500-000006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E11" authorId="1" shapeId="0" xr:uid="{00000000-0006-0000-0500-000007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G11" authorId="1" shapeId="0" xr:uid="{00000000-0006-0000-0500-000008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E13" authorId="1" shapeId="0" xr:uid="{00000000-0006-0000-0500-000009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G13" authorId="1" shapeId="0" xr:uid="{00000000-0006-0000-0500-00000A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E15" authorId="1" shapeId="0" xr:uid="{00000000-0006-0000-0500-00000B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G15" authorId="1" shapeId="0" xr:uid="{00000000-0006-0000-0500-00000C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G16" authorId="1" shapeId="0" xr:uid="{00000000-0006-0000-0500-00000D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AE18" authorId="1" shapeId="0" xr:uid="{00000000-0006-0000-0500-00000E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E21" authorId="1" shapeId="0" xr:uid="{00000000-0006-0000-0500-00000F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G21" authorId="1" shapeId="0" xr:uid="{00000000-0006-0000-0500-000010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E22" authorId="1" shapeId="0" xr:uid="{00000000-0006-0000-0500-000011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G22" authorId="1" shapeId="0" xr:uid="{00000000-0006-0000-0500-000012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E23" authorId="1" shapeId="0" xr:uid="{00000000-0006-0000-0500-000013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G23" authorId="1" shapeId="0" xr:uid="{00000000-0006-0000-0500-000014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E24" authorId="1" shapeId="0" xr:uid="{00000000-0006-0000-0500-000015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G24" authorId="1" shapeId="0" xr:uid="{00000000-0006-0000-0500-000016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G25" authorId="1" shapeId="0" xr:uid="{00000000-0006-0000-0500-000017000000}">
      <text>
        <r>
          <rPr>
            <sz val="8"/>
            <color indexed="81"/>
            <rFont val="Tahoma"/>
            <family val="2"/>
          </rPr>
          <t>Eingabezelle</t>
        </r>
      </text>
    </comment>
    <comment ref="G26" authorId="1" shapeId="0" xr:uid="{00000000-0006-0000-0500-000018000000}">
      <text>
        <r>
          <rPr>
            <sz val="8"/>
            <color indexed="81"/>
            <rFont val="Tahoma"/>
            <family val="2"/>
          </rPr>
          <t>Eingabezelle</t>
        </r>
      </text>
    </comment>
  </commentList>
</comments>
</file>

<file path=xl/sharedStrings.xml><?xml version="1.0" encoding="utf-8"?>
<sst xmlns="http://schemas.openxmlformats.org/spreadsheetml/2006/main" count="697" uniqueCount="269">
  <si>
    <t>Wirtschaftlichkeitskennzahlen für Produktionsverfahren:</t>
  </si>
  <si>
    <t>DB /</t>
  </si>
  <si>
    <t>Faktorentlohnung</t>
  </si>
  <si>
    <t>U-Gew.</t>
  </si>
  <si>
    <t>Kapital (€)</t>
  </si>
  <si>
    <t xml:space="preserve"> </t>
  </si>
  <si>
    <t>Proportional variable Spezialkosten</t>
  </si>
  <si>
    <t>Saatgut</t>
  </si>
  <si>
    <t>+</t>
  </si>
  <si>
    <t>=</t>
  </si>
  <si>
    <t>Düngung</t>
  </si>
  <si>
    <t>Pflanzenschutz</t>
  </si>
  <si>
    <t>-</t>
  </si>
  <si>
    <t>×</t>
  </si>
  <si>
    <t>Umlaufvermögen</t>
  </si>
  <si>
    <t>Faktorertrag (kurzfristig)</t>
  </si>
  <si>
    <t>Faktorertrag (langfristig)</t>
  </si>
  <si>
    <t>Produktionsschwelle III mit  Direktzahlungen</t>
  </si>
  <si>
    <t>Rentabilitätsschwelle mit  Direktzahlungen</t>
  </si>
  <si>
    <t>Preis</t>
  </si>
  <si>
    <t>Gesamtleistung</t>
  </si>
  <si>
    <t>Kosten für Arbeit (Produktion)</t>
  </si>
  <si>
    <t>Kosten für Kapital für Umlaufvermögen</t>
  </si>
  <si>
    <t>Kosten für Kapital für Anlagevermögen</t>
  </si>
  <si>
    <t>Kosten für sonstige proport. Faktoren</t>
  </si>
  <si>
    <t>Kosten für Nutzfläche</t>
  </si>
  <si>
    <t>____</t>
  </si>
  <si>
    <t xml:space="preserve">____ </t>
  </si>
  <si>
    <r>
      <t xml:space="preserve">Arbeit </t>
    </r>
    <r>
      <rPr>
        <sz val="8"/>
        <rFont val="Arial"/>
        <family val="2"/>
      </rPr>
      <t>(Produktion)</t>
    </r>
  </si>
  <si>
    <t>Nebenleistungen</t>
  </si>
  <si>
    <t>Nebenleistungen (mit prop. Direktzahlungen)</t>
  </si>
  <si>
    <t>Technik</t>
  </si>
  <si>
    <t>*)</t>
  </si>
  <si>
    <t>**)</t>
  </si>
  <si>
    <t>mit allgemeinen Direktzahlungen in Höhe von</t>
  </si>
  <si>
    <t>Sonstige anteilige Gemeinkosten</t>
  </si>
  <si>
    <t>Proportional variable Kosten</t>
  </si>
  <si>
    <t xml:space="preserve"> Fest- und Gemeinkosten:</t>
  </si>
  <si>
    <t>ohne Zins, Lohn- und Pachtansprüche</t>
  </si>
  <si>
    <t>Kosten für allgemeine Arbeiten</t>
  </si>
  <si>
    <t>Direktzahlungen</t>
  </si>
  <si>
    <t>je 1</t>
  </si>
  <si>
    <t>Abschreibung, Versicherung, Gebäudeunterhalt, etc</t>
  </si>
  <si>
    <r>
      <t>Abschreibung</t>
    </r>
    <r>
      <rPr>
        <sz val="10"/>
        <rFont val="Arial"/>
        <family val="2"/>
      </rPr>
      <t>, Versicherung, Gebäudeunterhalt, etc</t>
    </r>
  </si>
  <si>
    <r>
      <t xml:space="preserve">Variable Kosten I </t>
    </r>
    <r>
      <rPr>
        <sz val="10"/>
        <rFont val="Arial"/>
        <family val="2"/>
      </rPr>
      <t>*)</t>
    </r>
  </si>
  <si>
    <r>
      <t xml:space="preserve">Variable Kosten II </t>
    </r>
    <r>
      <rPr>
        <sz val="10"/>
        <rFont val="Arial"/>
        <family val="2"/>
      </rPr>
      <t>*)</t>
    </r>
  </si>
  <si>
    <r>
      <t xml:space="preserve">Variable Kosten III </t>
    </r>
    <r>
      <rPr>
        <sz val="10"/>
        <rFont val="Arial"/>
        <family val="2"/>
      </rPr>
      <t>*)</t>
    </r>
  </si>
  <si>
    <r>
      <t xml:space="preserve">Gesamtkosten </t>
    </r>
    <r>
      <rPr>
        <sz val="10"/>
        <rFont val="Arial"/>
        <family val="2"/>
      </rPr>
      <t>*)</t>
    </r>
  </si>
  <si>
    <t>jeweils korrigiert um Nebenleistungen und ggf. Direktzahlungen</t>
  </si>
  <si>
    <t>Grunddaten:</t>
  </si>
  <si>
    <t>Unternehmer-</t>
  </si>
  <si>
    <t>Gesamtleistung *)</t>
  </si>
  <si>
    <t>Proportional variable Kosten **)</t>
  </si>
  <si>
    <t>Ertrag Hauptleistung × Preis  +  Nebenleistungen  +  proportionale Direktzahlungen</t>
  </si>
  <si>
    <t>***)</t>
  </si>
  <si>
    <r>
      <t>Prop. Var. Kosten / Deckungsbeitrag *</t>
    </r>
    <r>
      <rPr>
        <sz val="10"/>
        <rFont val="Arial"/>
        <family val="2"/>
      </rPr>
      <t>*)</t>
    </r>
  </si>
  <si>
    <r>
      <t xml:space="preserve">Faktorentgelt </t>
    </r>
    <r>
      <rPr>
        <sz val="10"/>
        <rFont val="Arial"/>
        <family val="2"/>
      </rPr>
      <t>(Formular 3)</t>
    </r>
  </si>
  <si>
    <r>
      <t xml:space="preserve">Vollkosten, Unternehmergewinn, Gewinn </t>
    </r>
    <r>
      <rPr>
        <sz val="10"/>
        <rFont val="Arial"/>
        <family val="2"/>
      </rPr>
      <t>(Formular 2)</t>
    </r>
  </si>
  <si>
    <r>
      <t xml:space="preserve">Schwellenpreise </t>
    </r>
    <r>
      <rPr>
        <sz val="10"/>
        <rFont val="Arial"/>
        <family val="2"/>
      </rPr>
      <t>(Formular 4)</t>
    </r>
  </si>
  <si>
    <t>(Formular 5)</t>
  </si>
  <si>
    <t>PV-Variante:</t>
  </si>
  <si>
    <t xml:space="preserve">Proportional variable Kosten </t>
  </si>
  <si>
    <t>mit allgem. Direktzahl. von</t>
  </si>
  <si>
    <t>Faktorengelt kurzfristig (Produktionsschwelle)</t>
  </si>
  <si>
    <t>Faktorengelt insgesamt</t>
  </si>
  <si>
    <t>= Faktorengelt je Faktoreinheit</t>
  </si>
  <si>
    <t>Faktorengelt langfristig (Rentabilitätsschwelle)</t>
  </si>
  <si>
    <t>/ AKh</t>
  </si>
  <si>
    <t>/ ha</t>
  </si>
  <si>
    <t>Verzinsung</t>
  </si>
  <si>
    <t>AKh /</t>
  </si>
  <si>
    <t>ha /</t>
  </si>
  <si>
    <t>AKh , ha</t>
  </si>
  <si>
    <t>(1 oder 2)</t>
  </si>
  <si>
    <r>
      <t>P</t>
    </r>
    <r>
      <rPr>
        <sz val="6"/>
        <rFont val="Arial"/>
        <family val="2"/>
      </rPr>
      <t>2</t>
    </r>
    <r>
      <rPr>
        <sz val="10"/>
        <rFont val="Arial"/>
        <family val="2"/>
      </rPr>
      <t>O</t>
    </r>
    <r>
      <rPr>
        <sz val="6"/>
        <rFont val="Arial"/>
        <family val="2"/>
      </rPr>
      <t>5</t>
    </r>
  </si>
  <si>
    <r>
      <t>K</t>
    </r>
    <r>
      <rPr>
        <sz val="6"/>
        <rFont val="Arial"/>
        <family val="2"/>
      </rPr>
      <t>2</t>
    </r>
    <r>
      <rPr>
        <sz val="10"/>
        <rFont val="Arial"/>
        <family val="2"/>
      </rPr>
      <t>O</t>
    </r>
  </si>
  <si>
    <t>Gehalt</t>
  </si>
  <si>
    <t>Entzug</t>
  </si>
  <si>
    <t>Bedarfs-</t>
  </si>
  <si>
    <t>Bedarf</t>
  </si>
  <si>
    <t>Nährstoff-Rücklie-</t>
  </si>
  <si>
    <t>kg/dt</t>
  </si>
  <si>
    <t>kg/ha</t>
  </si>
  <si>
    <t>faktor</t>
  </si>
  <si>
    <t>ferung aus Stroh</t>
  </si>
  <si>
    <t>Aus-</t>
  </si>
  <si>
    <t>nutzung</t>
  </si>
  <si>
    <t>+ Stroh*</t>
  </si>
  <si>
    <t>= Düngerbedarf bei Strohabfuhr</t>
  </si>
  <si>
    <t>– Rücklieferung aus Stroh</t>
  </si>
  <si>
    <t>= Saldierter Düngerbedarf bei Stroheinarbeitung</t>
  </si>
  <si>
    <t xml:space="preserve">* Stroh-Ertrag = </t>
  </si>
  <si>
    <t>×  Kornertrag</t>
  </si>
  <si>
    <r>
      <t>P</t>
    </r>
    <r>
      <rPr>
        <b/>
        <sz val="6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sz val="6"/>
        <rFont val="Arial"/>
        <family val="2"/>
      </rPr>
      <t>5</t>
    </r>
  </si>
  <si>
    <r>
      <t>K</t>
    </r>
    <r>
      <rPr>
        <b/>
        <sz val="6"/>
        <rFont val="Arial"/>
        <family val="2"/>
      </rPr>
      <t>2</t>
    </r>
    <r>
      <rPr>
        <b/>
        <sz val="10"/>
        <rFont val="Arial"/>
        <family val="2"/>
      </rPr>
      <t>O</t>
    </r>
  </si>
  <si>
    <r>
      <t xml:space="preserve">Berechnung des saldierten Düngerbedarfs </t>
    </r>
    <r>
      <rPr>
        <sz val="10"/>
        <rFont val="Arial"/>
        <family val="2"/>
      </rPr>
      <t>(Formular 1a)</t>
    </r>
  </si>
  <si>
    <t>Anschaffungskosten × Kostensatz je Jahr  [der Kostensatz ergibt sich aus dem Kehrwert der Nutzungsdauer in Jahren (1 / N) ]</t>
  </si>
  <si>
    <r>
      <t xml:space="preserve">Abschreibung, </t>
    </r>
    <r>
      <rPr>
        <sz val="10"/>
        <rFont val="Arial"/>
        <family val="2"/>
      </rPr>
      <t>Versicherung, Gebäudeunterhalt, etc ***)</t>
    </r>
  </si>
  <si>
    <t>Hagel-Versicherung</t>
  </si>
  <si>
    <t>dt/ha</t>
  </si>
  <si>
    <t>Nutzfläche</t>
  </si>
  <si>
    <t>Gesamt</t>
  </si>
  <si>
    <t>Arbeit</t>
  </si>
  <si>
    <t>Variable Kosten (v.K) der Eigenmechanisierung und Arbeitszeitbedarf (AKh)</t>
  </si>
  <si>
    <t>Verfahren</t>
  </si>
  <si>
    <t>ZSp</t>
  </si>
  <si>
    <t>Mindest-</t>
  </si>
  <si>
    <t>preis</t>
  </si>
  <si>
    <t>% von A</t>
  </si>
  <si>
    <t>Sonstige feste Spezialkosten</t>
  </si>
  <si>
    <t>Technik: Afa, Versich., etc.</t>
  </si>
  <si>
    <t>Gebäude: Afa, Unterh., etc.</t>
  </si>
  <si>
    <r>
      <t xml:space="preserve">Var.Kosten </t>
    </r>
    <r>
      <rPr>
        <sz val="8"/>
        <rFont val="Arial"/>
        <family val="2"/>
      </rPr>
      <t>(ohne Zins, Lohn-, Pachtansprüche)</t>
    </r>
  </si>
  <si>
    <t>/  Faktoreinsatz (Kapital, AKh, ha)</t>
  </si>
  <si>
    <r>
      <t xml:space="preserve">Deckungsbeitrag </t>
    </r>
    <r>
      <rPr>
        <sz val="10"/>
        <rFont val="Arial"/>
        <family val="2"/>
      </rPr>
      <t>(ohne Zins, Lohn-, Pachtansprüche)</t>
    </r>
  </si>
  <si>
    <t>Bezeichnung</t>
  </si>
  <si>
    <t>Menge /</t>
  </si>
  <si>
    <t>je Einh.</t>
  </si>
  <si>
    <t>Hauptl.:</t>
  </si>
  <si>
    <t>Neben-</t>
  </si>
  <si>
    <t>leistung</t>
  </si>
  <si>
    <t>Direkt-</t>
  </si>
  <si>
    <t>zahl.:</t>
  </si>
  <si>
    <t>Ertrag Hauptleistung</t>
  </si>
  <si>
    <t>Hinweis:</t>
  </si>
  <si>
    <t>Wenn als Mindestpreise je Einheit sehr kleine Werte ausgewiesen werden, so dass die angezeigten zwei Dezimalstellen nur eine sehr unganaue Information ermöglichen lässt sich mit</t>
  </si>
  <si>
    <t>nachfolgendem Faktor erreichen, dass der errechnete Mindestpreis auf ein Vielfaches der Produkteinheit bezogen wird. Sinnvolle Faktoren sind: 1, 10, 100, 1000, etc.</t>
  </si>
  <si>
    <t xml:space="preserve"> Faktor:</t>
  </si>
  <si>
    <t xml:space="preserve"> Einheit:</t>
  </si>
  <si>
    <t>Faktoreinsatz:</t>
  </si>
  <si>
    <t>Fremd-%</t>
  </si>
  <si>
    <t>Eigen-%</t>
  </si>
  <si>
    <t>Ø-Kosten</t>
  </si>
  <si>
    <t>Gew-Mittel</t>
  </si>
  <si>
    <t>Allg. Arbeiten</t>
  </si>
  <si>
    <t>Zum Vergleich: Summe der Nutzungskosten für eigene Faktoren:</t>
  </si>
  <si>
    <t>Fremd:</t>
  </si>
  <si>
    <t>Eigen:</t>
  </si>
  <si>
    <t xml:space="preserve">–––- </t>
  </si>
  <si>
    <t>–––––-</t>
  </si>
  <si>
    <t xml:space="preserve">–––––- </t>
  </si>
  <si>
    <t xml:space="preserve">––––- </t>
  </si>
  <si>
    <t xml:space="preserve">  (Kosten bzw. Nutzungskosten des Faktoreinsatzes)</t>
  </si>
  <si>
    <t xml:space="preserve"> Vergleichswerte </t>
  </si>
  <si>
    <t>±</t>
  </si>
  <si>
    <t>Arbeit (h)</t>
  </si>
  <si>
    <t>Fläche (ha)</t>
  </si>
  <si>
    <t>kurzfristig</t>
  </si>
  <si>
    <t>Hauptleistung (Ertrag × Preis)</t>
  </si>
  <si>
    <t>Zinsanspruch f. Umlaufverm.:</t>
  </si>
  <si>
    <t>Achtung hier steht eine Formel !!</t>
  </si>
  <si>
    <t>Lohnanspruch für Arbeit:</t>
  </si>
  <si>
    <t>h  ×</t>
  </si>
  <si>
    <t>Nutzungskosten für Fläche:</t>
  </si>
  <si>
    <t>ha  ×</t>
  </si>
  <si>
    <t>Zinsanspruch f. Anlageverm.:</t>
  </si>
  <si>
    <t>Lohnanspruch für allg. Arbeit:</t>
  </si>
  <si>
    <t>Rentabilitätsschwelle</t>
  </si>
  <si>
    <t>Deckungsbeitrag</t>
  </si>
  <si>
    <t>–</t>
  </si>
  <si>
    <t>Kosten</t>
  </si>
  <si>
    <t>%</t>
  </si>
  <si>
    <t>Produktionsschwelle I</t>
  </si>
  <si>
    <t>Produktionsschwelle II</t>
  </si>
  <si>
    <t>Produktionsschwelle III</t>
  </si>
  <si>
    <t>Prop. Direktzahlungen</t>
  </si>
  <si>
    <t>Allg. Direktzahlungen</t>
  </si>
  <si>
    <t>Nebenleistungen (ohne Direktzahlungen)</t>
  </si>
  <si>
    <t>Direktzahlungen (proport. + allgemeine)</t>
  </si>
  <si>
    <t>AKh</t>
  </si>
  <si>
    <t>ha</t>
  </si>
  <si>
    <t>Sonstige Nutzungskosten</t>
  </si>
  <si>
    <t>Deckungsbeitragsrechnung für:</t>
  </si>
  <si>
    <t>Einheit: 1</t>
  </si>
  <si>
    <t>Währung:</t>
  </si>
  <si>
    <t>€</t>
  </si>
  <si>
    <t>Marktleistung</t>
  </si>
  <si>
    <t>Einh.</t>
  </si>
  <si>
    <t>Umfang</t>
  </si>
  <si>
    <t>Gesamtertrag</t>
  </si>
  <si>
    <t>Marktleistung gesamt</t>
  </si>
  <si>
    <t>Saatgut gesamt</t>
  </si>
  <si>
    <t>kg NS /</t>
  </si>
  <si>
    <t>Bed.</t>
  </si>
  <si>
    <t>Ausn.</t>
  </si>
  <si>
    <t>Nährstoff</t>
  </si>
  <si>
    <t>Korn</t>
  </si>
  <si>
    <t>fakt.</t>
  </si>
  <si>
    <t>Rückl.</t>
  </si>
  <si>
    <t>kg</t>
  </si>
  <si>
    <t>N</t>
  </si>
  <si>
    <t>Düngung ges.</t>
  </si>
  <si>
    <t>Pflanzenschutz gesamt</t>
  </si>
  <si>
    <t>Dienstleistungen</t>
  </si>
  <si>
    <t>Dienstleistungen gesamt</t>
  </si>
  <si>
    <t>Variable Kosten der Eigenmech.</t>
  </si>
  <si>
    <t>Sonstige Kosten</t>
  </si>
  <si>
    <t>Erläuterung</t>
  </si>
  <si>
    <t>Trocknung</t>
  </si>
  <si>
    <t>Ertrag</t>
  </si>
  <si>
    <t>% der ML (ohne Pr.)</t>
  </si>
  <si>
    <t>Variable Kosten insgesamt</t>
  </si>
  <si>
    <t>der v.Ko.</t>
  </si>
  <si>
    <t>Anlagevermögen</t>
  </si>
  <si>
    <t>/ Faktoreinsatzmenge</t>
  </si>
  <si>
    <t>langfristig</t>
  </si>
  <si>
    <t>Proport. var. Kosten</t>
  </si>
  <si>
    <t>Gewinn</t>
  </si>
  <si>
    <t>Produkteinheit</t>
  </si>
  <si>
    <t>gewinn</t>
  </si>
  <si>
    <t>–-</t>
  </si>
  <si>
    <t>Variable Kosten I / Deckungsbeitrag I</t>
  </si>
  <si>
    <t>Variable Kosten II / Deckungsbeitrag II</t>
  </si>
  <si>
    <t>Variable Kosten III / Deckungsbeitrag III</t>
  </si>
  <si>
    <t>Technik:</t>
  </si>
  <si>
    <t>Gebäude:</t>
  </si>
  <si>
    <t>Sonstige feste Spezialkosten (Berufsgen., etc.)</t>
  </si>
  <si>
    <t>Anteilige Gemeinkosten (ohne Arbeit)</t>
  </si>
  <si>
    <t>Vollkosten / Unternehmergewinn / Gewinn</t>
  </si>
  <si>
    <t>Kapital</t>
  </si>
  <si>
    <t>Boden</t>
  </si>
  <si>
    <t>Eigen</t>
  </si>
  <si>
    <t>Produktions-</t>
  </si>
  <si>
    <t>Rentabilitäts-</t>
  </si>
  <si>
    <t>Gewinn-</t>
  </si>
  <si>
    <t>schwelle</t>
  </si>
  <si>
    <t>ohne</t>
  </si>
  <si>
    <t>mit</t>
  </si>
  <si>
    <t>(Produktionsschwelle I)</t>
  </si>
  <si>
    <t>(Produktionsschwelle II)</t>
  </si>
  <si>
    <t>ggf. nur für Produktionsschwelle !!!</t>
  </si>
  <si>
    <t>(Produktionsschwelle III)</t>
  </si>
  <si>
    <t>Gebäude</t>
  </si>
  <si>
    <t>(Rentabilitätsschwelle bzw. Gewinnschwelle)</t>
  </si>
  <si>
    <t>Sonstige Kosten gesamt</t>
  </si>
  <si>
    <t>Umlaufvermögen im Durchschnitt</t>
  </si>
  <si>
    <t>HalbMo</t>
  </si>
  <si>
    <t xml:space="preserve">Weizen </t>
  </si>
  <si>
    <t>Weizen 85 dt</t>
  </si>
  <si>
    <t xml:space="preserve">A Weizen </t>
  </si>
  <si>
    <t xml:space="preserve">Futter Weizen </t>
  </si>
  <si>
    <t xml:space="preserve">Weizen Bio </t>
  </si>
  <si>
    <t>Bioprämie</t>
  </si>
  <si>
    <t xml:space="preserve">Saatgut eigen </t>
  </si>
  <si>
    <t xml:space="preserve">Z-Saatgut </t>
  </si>
  <si>
    <t>dt</t>
  </si>
  <si>
    <t xml:space="preserve">dt Korn </t>
  </si>
  <si>
    <t>dt Stroh</t>
  </si>
  <si>
    <t>Herbizid</t>
  </si>
  <si>
    <t>Wachstumregler</t>
  </si>
  <si>
    <t>Fungizid</t>
  </si>
  <si>
    <t>Insektizid</t>
  </si>
  <si>
    <t>l</t>
  </si>
  <si>
    <t xml:space="preserve">Bakterien </t>
  </si>
  <si>
    <t xml:space="preserve">Flüssigdünger </t>
  </si>
  <si>
    <t>Mähdrusch</t>
  </si>
  <si>
    <t>1</t>
  </si>
  <si>
    <t xml:space="preserve">Stoppelbearbeitung </t>
  </si>
  <si>
    <t>Tiefgrubbern</t>
  </si>
  <si>
    <t xml:space="preserve">Bestellung </t>
  </si>
  <si>
    <t xml:space="preserve">Düngung </t>
  </si>
  <si>
    <t xml:space="preserve">ha </t>
  </si>
  <si>
    <t xml:space="preserve">Pflanzenschutz </t>
  </si>
  <si>
    <t xml:space="preserve">to </t>
  </si>
  <si>
    <t xml:space="preserve">Transport </t>
  </si>
  <si>
    <t>Einlagern</t>
  </si>
  <si>
    <t xml:space="preserve">Auslagern, Belüften </t>
  </si>
  <si>
    <t xml:space="preserve">200 PS Schlepper </t>
  </si>
  <si>
    <t xml:space="preserve">Striegeln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</si>
</sst>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1">
    <numFmt numFmtId="164" formatCode="_-* #,##0.00\ _D_M_-;\-* #,##0.00\ _D_M_-;_-* &quot;-&quot;??\ _D_M_-;_-@_-"/>
    <numFmt numFmtId="165" formatCode="0_)"/>
    <numFmt numFmtId="166" formatCode="0.0_)"/>
    <numFmt numFmtId="167" formatCode="0.00_)"/>
    <numFmt numFmtId="168" formatCode="0.0"/>
    <numFmt numFmtId="169" formatCode="0%\ "/>
    <numFmt numFmtId="170" formatCode="General;General;;@"/>
    <numFmt numFmtId="171" formatCode="#,##0\ ;\-#,##0\ ;;"/>
    <numFmt numFmtId="172" formatCode="#,##0.0\ ;\-#,##0.0\ ;;"/>
    <numFmt numFmtId="173" formatCode="#,##0.00\ ;\-#,##0.00\ ;;"/>
    <numFmt numFmtId="174" formatCode="#,##0.000\ ;\-#,##0.000\ ;;"/>
    <numFmt numFmtId="175" formatCode="\+* #,##0\ ;\-* #,##0\ ;;"/>
    <numFmt numFmtId="176" formatCode="0.0;\-0.0;;@"/>
    <numFmt numFmtId="177" formatCode="#,##0;\-#,##0;;@"/>
    <numFmt numFmtId="178" formatCode="#,##0.0;\-#,##0.0;;@"/>
    <numFmt numFmtId="179" formatCode="#,##0.00;\-#,##0.00;;@"/>
    <numFmt numFmtId="180" formatCode="\=* #,##0.00"/>
    <numFmt numFmtId="181" formatCode="\+* #,##0.00;\–* #,##0.00;\+* ;@"/>
    <numFmt numFmtId="182" formatCode="\=* #,##0.00;\=* \-#,##0.00;\=* ;@"/>
    <numFmt numFmtId="183" formatCode="\+* #,##0.00;\–* #,##0.00;\–* ;@"/>
    <numFmt numFmtId="184" formatCode="&quot;:&quot;* #,##0.00;&quot;:&quot;* \-#,##0.00;&quot;:&quot;* ;@"/>
    <numFmt numFmtId="185" formatCode="\=\&gt;* #,##0.00;\=\&gt;* \-#,##0.00;\=\&gt;* ;@"/>
    <numFmt numFmtId="186" formatCode="\×* 0.0%"/>
    <numFmt numFmtId="187" formatCode="\×* 0.00"/>
    <numFmt numFmtId="188" formatCode="\×* #,##0"/>
    <numFmt numFmtId="189" formatCode="\=* #,##0.00%;\=* \-#,##0.00%;\=* ;@"/>
    <numFmt numFmtId="190" formatCode="0%\ ;\-0%\ ;;"/>
    <numFmt numFmtId="191" formatCode="#,##0.00;\-#,##0.00;;"/>
    <numFmt numFmtId="192" formatCode="0.0%;\-0.0%;;"/>
    <numFmt numFmtId="193" formatCode="#,##0;\-#,##0;;"/>
    <numFmt numFmtId="194" formatCode="General;\-General;;"/>
    <numFmt numFmtId="195" formatCode="#,##0.00\ [$€-407];\-#,##0.00\ [$€-407]"/>
    <numFmt numFmtId="196" formatCode=";;;@"/>
    <numFmt numFmtId="197" formatCode="0.00;\-0.00;;"/>
    <numFmt numFmtId="198" formatCode="#,##0.00%;\-#,##0.00%;;@"/>
    <numFmt numFmtId="199" formatCode="#,##0.00;\-#,##0.00;"/>
    <numFmt numFmtId="200" formatCode="0%\ ;\-0%\ ;;@"/>
    <numFmt numFmtId="201" formatCode="0.0\ "/>
    <numFmt numFmtId="202" formatCode="0\ "/>
    <numFmt numFmtId="203" formatCode="0%;\-0%;;@"/>
    <numFmt numFmtId="204" formatCode="0.0\ ;\-0.0\ ;;@"/>
  </numFmts>
  <fonts count="26" x14ac:knownFonts="1">
    <font>
      <sz val="10"/>
      <name val="Arial"/>
      <family val="2"/>
    </font>
    <font>
      <sz val="15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8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sz val="5"/>
      <name val="Arial"/>
      <family val="2"/>
    </font>
    <font>
      <b/>
      <sz val="6"/>
      <name val="Arial"/>
      <family val="2"/>
    </font>
    <font>
      <sz val="8"/>
      <color indexed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2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hair">
        <color indexed="8"/>
      </bottom>
      <diagonal/>
    </border>
    <border>
      <left style="double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double">
        <color indexed="8"/>
      </top>
      <bottom style="hair">
        <color indexed="64"/>
      </bottom>
      <diagonal/>
    </border>
    <border>
      <left/>
      <right style="thin">
        <color indexed="64"/>
      </right>
      <top style="double">
        <color indexed="8"/>
      </top>
      <bottom style="hair">
        <color indexed="64"/>
      </bottom>
      <diagonal/>
    </border>
    <border>
      <left/>
      <right style="double">
        <color indexed="8"/>
      </right>
      <top style="double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64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64"/>
      </left>
      <right style="double">
        <color indexed="8"/>
      </right>
      <top/>
      <bottom style="hair">
        <color indexed="8"/>
      </bottom>
      <diagonal/>
    </border>
    <border>
      <left style="hair">
        <color indexed="64"/>
      </left>
      <right style="double">
        <color indexed="8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/>
      <right/>
      <top style="hair">
        <color indexed="8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double">
        <color indexed="64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double">
        <color indexed="64"/>
      </bottom>
      <diagonal/>
    </border>
    <border>
      <left style="thin">
        <color indexed="8"/>
      </left>
      <right/>
      <top style="hair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8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8"/>
      </right>
      <top/>
      <bottom style="hair">
        <color indexed="64"/>
      </bottom>
      <diagonal/>
    </border>
    <border>
      <left style="hair">
        <color indexed="64"/>
      </left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8"/>
      </top>
      <bottom style="hair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double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double">
        <color indexed="64"/>
      </bottom>
      <diagonal/>
    </border>
    <border>
      <left/>
      <right style="double">
        <color indexed="8"/>
      </right>
      <top style="hair">
        <color indexed="8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double">
        <color indexed="8"/>
      </right>
      <top/>
      <bottom style="hair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1" fillId="0" borderId="0" applyNumberFormat="0" applyFill="0" applyBorder="0" applyAlignment="0" applyProtection="0"/>
    <xf numFmtId="0" fontId="3" fillId="2" borderId="0" applyNumberFormat="0" applyFont="0" applyBorder="0" applyAlignment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3" borderId="0" applyNumberFormat="0" applyFont="0" applyBorder="0" applyAlignment="0" applyProtection="0"/>
    <xf numFmtId="0" fontId="3" fillId="4" borderId="0" applyNumberFormat="0" applyFont="0" applyBorder="0" applyAlignment="0">
      <protection locked="0"/>
    </xf>
    <xf numFmtId="195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 applyFill="0" applyBorder="0" applyProtection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Protection="0">
      <alignment vertical="top"/>
    </xf>
    <xf numFmtId="0" fontId="7" fillId="0" borderId="0" applyNumberFormat="0" applyFill="0" applyBorder="0" applyProtection="0">
      <alignment vertical="top"/>
    </xf>
    <xf numFmtId="0" fontId="8" fillId="0" borderId="0" applyNumberFormat="0" applyFill="0" applyBorder="0" applyProtection="0">
      <alignment horizontal="left" vertical="top"/>
    </xf>
    <xf numFmtId="0" fontId="6" fillId="0" borderId="0" applyNumberFormat="0" applyFill="0" applyBorder="0" applyProtection="0">
      <alignment horizontal="left" vertical="top"/>
    </xf>
    <xf numFmtId="0" fontId="6" fillId="0" borderId="0" applyNumberFormat="0" applyFill="0" applyBorder="0" applyProtection="0">
      <alignment horizontal="left" vertical="top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5" fontId="3" fillId="0" borderId="0" applyFont="0" applyFill="0" applyBorder="0" applyAlignment="0" applyProtection="0"/>
  </cellStyleXfs>
  <cellXfs count="1020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Alignment="1"/>
    <xf numFmtId="0" fontId="4" fillId="0" borderId="0" xfId="0" quotePrefix="1" applyFont="1" applyAlignment="1">
      <alignment horizontal="left"/>
    </xf>
    <xf numFmtId="0" fontId="11" fillId="0" borderId="0" xfId="0" applyFont="1"/>
    <xf numFmtId="0" fontId="6" fillId="0" borderId="0" xfId="0" quotePrefix="1" applyFont="1" applyAlignment="1">
      <alignment horizontal="left"/>
    </xf>
    <xf numFmtId="0" fontId="4" fillId="0" borderId="1" xfId="0" applyFont="1" applyBorder="1"/>
    <xf numFmtId="0" fontId="5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3" fontId="4" fillId="0" borderId="0" xfId="0" applyNumberFormat="1" applyFont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" xfId="0" quotePrefix="1" applyFont="1" applyBorder="1" applyAlignment="1">
      <alignment horizontal="left"/>
    </xf>
    <xf numFmtId="0" fontId="3" fillId="0" borderId="0" xfId="16" applyFill="1" applyProtection="1">
      <protection locked="0"/>
    </xf>
    <xf numFmtId="0" fontId="4" fillId="0" borderId="5" xfId="0" applyFont="1" applyBorder="1"/>
    <xf numFmtId="0" fontId="4" fillId="0" borderId="6" xfId="0" applyFont="1" applyBorder="1" applyAlignment="1">
      <alignment horizontal="left"/>
    </xf>
    <xf numFmtId="1" fontId="12" fillId="0" borderId="7" xfId="16" applyNumberFormat="1" applyFont="1" applyBorder="1"/>
    <xf numFmtId="0" fontId="3" fillId="0" borderId="0" xfId="16"/>
    <xf numFmtId="0" fontId="3" fillId="0" borderId="0" xfId="16" applyProtection="1">
      <protection locked="0"/>
    </xf>
    <xf numFmtId="0" fontId="3" fillId="0" borderId="0" xfId="16" applyAlignment="1" applyProtection="1">
      <alignment horizontal="right"/>
      <protection locked="0"/>
    </xf>
    <xf numFmtId="164" fontId="3" fillId="0" borderId="0" xfId="10" applyFont="1" applyProtection="1">
      <protection locked="0"/>
    </xf>
    <xf numFmtId="173" fontId="15" fillId="0" borderId="8" xfId="24" applyFont="1" applyBorder="1" applyProtection="1"/>
    <xf numFmtId="173" fontId="15" fillId="0" borderId="9" xfId="24" applyFont="1" applyBorder="1" applyProtection="1"/>
    <xf numFmtId="173" fontId="15" fillId="0" borderId="1" xfId="24" applyFont="1" applyFill="1" applyBorder="1" applyProtection="1"/>
    <xf numFmtId="173" fontId="15" fillId="0" borderId="10" xfId="24" applyFont="1" applyFill="1" applyBorder="1" applyProtection="1"/>
    <xf numFmtId="170" fontId="3" fillId="0" borderId="0" xfId="16" applyNumberFormat="1" applyProtection="1">
      <protection locked="0"/>
    </xf>
    <xf numFmtId="0" fontId="5" fillId="4" borderId="4" xfId="8" applyFont="1" applyFill="1" applyBorder="1" applyProtection="1">
      <protection locked="0"/>
    </xf>
    <xf numFmtId="173" fontId="15" fillId="0" borderId="1" xfId="24" applyFont="1" applyBorder="1" applyProtection="1"/>
    <xf numFmtId="173" fontId="15" fillId="0" borderId="10" xfId="24" applyFont="1" applyBorder="1" applyProtection="1"/>
    <xf numFmtId="173" fontId="15" fillId="0" borderId="11" xfId="5" applyFont="1" applyBorder="1" applyProtection="1"/>
    <xf numFmtId="173" fontId="15" fillId="0" borderId="11" xfId="23" applyFont="1" applyBorder="1" applyProtection="1"/>
    <xf numFmtId="173" fontId="15" fillId="0" borderId="12" xfId="23" applyFont="1" applyBorder="1" applyProtection="1"/>
    <xf numFmtId="0" fontId="0" fillId="0" borderId="0" xfId="0" applyAlignment="1">
      <alignment horizontal="center"/>
    </xf>
    <xf numFmtId="0" fontId="12" fillId="0" borderId="13" xfId="0" applyFont="1" applyBorder="1"/>
    <xf numFmtId="0" fontId="9" fillId="0" borderId="0" xfId="0" applyFont="1"/>
    <xf numFmtId="0" fontId="7" fillId="0" borderId="0" xfId="0" quotePrefix="1" applyFont="1" applyAlignment="1">
      <alignment horizontal="left"/>
    </xf>
    <xf numFmtId="0" fontId="6" fillId="0" borderId="0" xfId="0" applyFont="1" applyBorder="1" applyAlignment="1">
      <alignment horizontal="center"/>
    </xf>
    <xf numFmtId="0" fontId="4" fillId="0" borderId="14" xfId="15" applyFont="1" applyBorder="1" applyAlignment="1">
      <alignment horizontal="centerContinuous"/>
    </xf>
    <xf numFmtId="0" fontId="4" fillId="0" borderId="15" xfId="15" applyFont="1" applyBorder="1" applyAlignment="1">
      <alignment horizontal="centerContinuous"/>
    </xf>
    <xf numFmtId="0" fontId="4" fillId="0" borderId="16" xfId="0" applyFont="1" applyBorder="1" applyAlignment="1">
      <alignment horizontal="left"/>
    </xf>
    <xf numFmtId="0" fontId="4" fillId="0" borderId="17" xfId="0" applyFont="1" applyBorder="1"/>
    <xf numFmtId="0" fontId="4" fillId="0" borderId="18" xfId="0" applyFont="1" applyBorder="1" applyAlignment="1">
      <alignment horizontal="left"/>
    </xf>
    <xf numFmtId="0" fontId="0" fillId="0" borderId="19" xfId="0" quotePrefix="1" applyBorder="1" applyAlignment="1">
      <alignment horizontal="left"/>
    </xf>
    <xf numFmtId="4" fontId="0" fillId="0" borderId="20" xfId="0" applyNumberFormat="1" applyBorder="1"/>
    <xf numFmtId="169" fontId="4" fillId="4" borderId="21" xfId="12" applyNumberFormat="1" applyFont="1" applyFill="1" applyBorder="1" applyProtection="1">
      <protection locked="0"/>
    </xf>
    <xf numFmtId="190" fontId="4" fillId="0" borderId="22" xfId="12" applyNumberFormat="1" applyFont="1" applyBorder="1"/>
    <xf numFmtId="2" fontId="4" fillId="0" borderId="19" xfId="15" applyNumberFormat="1" applyFont="1" applyBorder="1"/>
    <xf numFmtId="2" fontId="4" fillId="0" borderId="20" xfId="15" applyNumberFormat="1" applyFont="1" applyBorder="1"/>
    <xf numFmtId="2" fontId="4" fillId="0" borderId="23" xfId="15" applyNumberFormat="1" applyFont="1" applyBorder="1" applyAlignment="1">
      <alignment horizontal="center"/>
    </xf>
    <xf numFmtId="0" fontId="4" fillId="0" borderId="24" xfId="0" applyFont="1" applyBorder="1"/>
    <xf numFmtId="0" fontId="4" fillId="0" borderId="19" xfId="0" applyFont="1" applyBorder="1" applyAlignment="1">
      <alignment horizontal="left"/>
    </xf>
    <xf numFmtId="10" fontId="4" fillId="0" borderId="20" xfId="12" applyNumberFormat="1" applyFont="1" applyBorder="1"/>
    <xf numFmtId="10" fontId="4" fillId="0" borderId="25" xfId="12" applyNumberFormat="1" applyFont="1" applyBorder="1"/>
    <xf numFmtId="0" fontId="0" fillId="0" borderId="26" xfId="0" applyBorder="1"/>
    <xf numFmtId="179" fontId="0" fillId="4" borderId="3" xfId="0" applyNumberFormat="1" applyFill="1" applyBorder="1" applyProtection="1">
      <protection locked="0"/>
    </xf>
    <xf numFmtId="3" fontId="0" fillId="0" borderId="25" xfId="0" applyNumberFormat="1" applyBorder="1"/>
    <xf numFmtId="169" fontId="4" fillId="4" borderId="27" xfId="12" applyNumberFormat="1" applyFont="1" applyFill="1" applyBorder="1" applyProtection="1">
      <protection locked="0"/>
    </xf>
    <xf numFmtId="190" fontId="4" fillId="0" borderId="28" xfId="12" applyNumberFormat="1" applyFont="1" applyBorder="1"/>
    <xf numFmtId="2" fontId="3" fillId="0" borderId="29" xfId="15" applyNumberFormat="1" applyFont="1" applyBorder="1"/>
    <xf numFmtId="2" fontId="3" fillId="0" borderId="6" xfId="15" applyNumberFormat="1" applyFont="1" applyBorder="1"/>
    <xf numFmtId="0" fontId="6" fillId="0" borderId="30" xfId="0" applyFont="1" applyBorder="1" applyAlignment="1">
      <alignment horizontal="centerContinuous"/>
    </xf>
    <xf numFmtId="0" fontId="6" fillId="0" borderId="31" xfId="0" applyFont="1" applyBorder="1" applyAlignment="1">
      <alignment horizontal="centerContinuous"/>
    </xf>
    <xf numFmtId="0" fontId="4" fillId="0" borderId="0" xfId="13" applyFont="1"/>
    <xf numFmtId="179" fontId="4" fillId="0" borderId="0" xfId="0" applyNumberFormat="1" applyFont="1" applyBorder="1" applyAlignment="1"/>
    <xf numFmtId="0" fontId="4" fillId="0" borderId="32" xfId="0" applyFont="1" applyBorder="1" applyAlignment="1">
      <alignment horizontal="center"/>
    </xf>
    <xf numFmtId="0" fontId="4" fillId="0" borderId="33" xfId="0" quotePrefix="1" applyFont="1" applyBorder="1" applyAlignment="1">
      <alignment horizontal="left"/>
    </xf>
    <xf numFmtId="0" fontId="4" fillId="0" borderId="33" xfId="0" applyFont="1" applyBorder="1"/>
    <xf numFmtId="179" fontId="4" fillId="0" borderId="0" xfId="0" applyNumberFormat="1" applyFont="1" applyBorder="1" applyProtection="1"/>
    <xf numFmtId="0" fontId="6" fillId="0" borderId="34" xfId="0" applyFont="1" applyBorder="1" applyAlignment="1">
      <alignment horizontal="center"/>
    </xf>
    <xf numFmtId="0" fontId="6" fillId="0" borderId="24" xfId="0" quotePrefix="1" applyFont="1" applyBorder="1" applyAlignment="1">
      <alignment horizontal="left"/>
    </xf>
    <xf numFmtId="0" fontId="6" fillId="0" borderId="24" xfId="0" applyFont="1" applyBorder="1"/>
    <xf numFmtId="179" fontId="6" fillId="0" borderId="0" xfId="0" applyNumberFormat="1" applyFont="1" applyBorder="1" applyProtection="1"/>
    <xf numFmtId="0" fontId="4" fillId="0" borderId="35" xfId="0" applyFont="1" applyBorder="1"/>
    <xf numFmtId="0" fontId="4" fillId="0" borderId="35" xfId="0" applyFont="1" applyBorder="1" applyAlignment="1"/>
    <xf numFmtId="179" fontId="4" fillId="0" borderId="35" xfId="10" applyNumberFormat="1" applyFont="1" applyBorder="1" applyAlignment="1"/>
    <xf numFmtId="179" fontId="4" fillId="0" borderId="0" xfId="0" applyNumberFormat="1" applyFont="1" applyBorder="1" applyAlignment="1" applyProtection="1">
      <alignment horizontal="right"/>
    </xf>
    <xf numFmtId="0" fontId="4" fillId="0" borderId="33" xfId="0" applyFont="1" applyBorder="1" applyAlignment="1">
      <alignment horizontal="left"/>
    </xf>
    <xf numFmtId="0" fontId="6" fillId="0" borderId="24" xfId="0" applyFont="1" applyBorder="1" applyAlignment="1"/>
    <xf numFmtId="0" fontId="4" fillId="0" borderId="33" xfId="0" applyFont="1" applyBorder="1" applyAlignment="1"/>
    <xf numFmtId="168" fontId="4" fillId="4" borderId="33" xfId="0" applyNumberFormat="1" applyFont="1" applyFill="1" applyBorder="1" applyAlignment="1" applyProtection="1">
      <protection locked="0"/>
    </xf>
    <xf numFmtId="0" fontId="4" fillId="0" borderId="33" xfId="0" quotePrefix="1" applyFont="1" applyBorder="1" applyAlignment="1"/>
    <xf numFmtId="179" fontId="4" fillId="0" borderId="33" xfId="0" quotePrefix="1" applyNumberFormat="1" applyFont="1" applyBorder="1" applyAlignment="1"/>
    <xf numFmtId="0" fontId="4" fillId="0" borderId="35" xfId="0" applyFont="1" applyBorder="1" applyAlignment="1">
      <alignment horizontal="left"/>
    </xf>
    <xf numFmtId="179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 applyProtection="1"/>
    <xf numFmtId="3" fontId="4" fillId="0" borderId="33" xfId="0" applyNumberFormat="1" applyFont="1" applyBorder="1" applyProtection="1"/>
    <xf numFmtId="166" fontId="4" fillId="4" borderId="33" xfId="0" applyNumberFormat="1" applyFont="1" applyFill="1" applyBorder="1" applyAlignment="1" applyProtection="1"/>
    <xf numFmtId="0" fontId="4" fillId="0" borderId="34" xfId="0" applyFont="1" applyBorder="1" applyAlignment="1">
      <alignment horizontal="center"/>
    </xf>
    <xf numFmtId="0" fontId="4" fillId="0" borderId="24" xfId="0" quotePrefix="1" applyFont="1" applyBorder="1" applyAlignment="1">
      <alignment horizontal="left"/>
    </xf>
    <xf numFmtId="166" fontId="4" fillId="4" borderId="24" xfId="0" applyNumberFormat="1" applyFont="1" applyFill="1" applyBorder="1" applyAlignment="1" applyProtection="1"/>
    <xf numFmtId="179" fontId="4" fillId="0" borderId="0" xfId="0" applyNumberFormat="1" applyFont="1"/>
    <xf numFmtId="0" fontId="7" fillId="0" borderId="0" xfId="0" applyFont="1" applyAlignment="1">
      <alignment horizontal="left"/>
    </xf>
    <xf numFmtId="179" fontId="4" fillId="5" borderId="17" xfId="0" applyNumberFormat="1" applyFont="1" applyFill="1" applyBorder="1" applyProtection="1"/>
    <xf numFmtId="4" fontId="0" fillId="0" borderId="2" xfId="0" applyNumberFormat="1" applyBorder="1"/>
    <xf numFmtId="179" fontId="3" fillId="5" borderId="0" xfId="16" applyNumberFormat="1" applyFill="1" applyBorder="1" applyProtection="1"/>
    <xf numFmtId="179" fontId="4" fillId="5" borderId="2" xfId="0" applyNumberFormat="1" applyFont="1" applyFill="1" applyBorder="1" applyProtection="1"/>
    <xf numFmtId="0" fontId="4" fillId="0" borderId="26" xfId="0" applyFont="1" applyBorder="1" applyAlignment="1">
      <alignment horizontal="left"/>
    </xf>
    <xf numFmtId="179" fontId="4" fillId="5" borderId="3" xfId="0" applyNumberFormat="1" applyFont="1" applyFill="1" applyBorder="1" applyProtection="1"/>
    <xf numFmtId="3" fontId="0" fillId="0" borderId="3" xfId="0" applyNumberFormat="1" applyBorder="1"/>
    <xf numFmtId="0" fontId="6" fillId="0" borderId="36" xfId="0" applyFont="1" applyBorder="1" applyAlignment="1">
      <alignment horizontal="centerContinuous"/>
    </xf>
    <xf numFmtId="0" fontId="6" fillId="0" borderId="37" xfId="0" applyFont="1" applyBorder="1" applyAlignment="1">
      <alignment horizontal="centerContinuous"/>
    </xf>
    <xf numFmtId="0" fontId="6" fillId="0" borderId="38" xfId="0" applyFont="1" applyBorder="1" applyAlignment="1">
      <alignment horizontal="centerContinuous"/>
    </xf>
    <xf numFmtId="0" fontId="6" fillId="0" borderId="39" xfId="0" applyFont="1" applyBorder="1" applyAlignment="1">
      <alignment horizontal="centerContinuous"/>
    </xf>
    <xf numFmtId="0" fontId="6" fillId="0" borderId="40" xfId="0" applyFont="1" applyBorder="1" applyAlignment="1">
      <alignment horizontal="centerContinuous"/>
    </xf>
    <xf numFmtId="0" fontId="4" fillId="0" borderId="41" xfId="0" applyFont="1" applyBorder="1" applyAlignment="1">
      <alignment horizontal="center"/>
    </xf>
    <xf numFmtId="0" fontId="4" fillId="0" borderId="42" xfId="0" applyFont="1" applyBorder="1"/>
    <xf numFmtId="179" fontId="4" fillId="0" borderId="43" xfId="0" applyNumberFormat="1" applyFont="1" applyBorder="1" applyAlignment="1"/>
    <xf numFmtId="179" fontId="4" fillId="0" borderId="44" xfId="0" applyNumberFormat="1" applyFont="1" applyBorder="1" applyAlignment="1"/>
    <xf numFmtId="179" fontId="4" fillId="0" borderId="45" xfId="0" applyNumberFormat="1" applyFont="1" applyBorder="1" applyAlignment="1"/>
    <xf numFmtId="179" fontId="4" fillId="0" borderId="46" xfId="0" applyNumberFormat="1" applyFont="1" applyBorder="1" applyProtection="1"/>
    <xf numFmtId="179" fontId="4" fillId="0" borderId="47" xfId="0" applyNumberFormat="1" applyFont="1" applyBorder="1" applyProtection="1"/>
    <xf numFmtId="179" fontId="4" fillId="0" borderId="48" xfId="0" applyNumberFormat="1" applyFont="1" applyBorder="1" applyProtection="1"/>
    <xf numFmtId="179" fontId="4" fillId="0" borderId="39" xfId="0" applyNumberFormat="1" applyFont="1" applyBorder="1" applyProtection="1"/>
    <xf numFmtId="179" fontId="4" fillId="0" borderId="40" xfId="0" applyNumberFormat="1" applyFont="1" applyBorder="1" applyProtection="1"/>
    <xf numFmtId="179" fontId="4" fillId="0" borderId="49" xfId="0" applyNumberFormat="1" applyFont="1" applyBorder="1" applyProtection="1"/>
    <xf numFmtId="0" fontId="4" fillId="0" borderId="4" xfId="0" applyFont="1" applyBorder="1" applyAlignment="1">
      <alignment horizontal="left"/>
    </xf>
    <xf numFmtId="179" fontId="4" fillId="0" borderId="50" xfId="0" applyNumberFormat="1" applyFont="1" applyBorder="1" applyProtection="1"/>
    <xf numFmtId="179" fontId="4" fillId="0" borderId="51" xfId="0" applyNumberFormat="1" applyFont="1" applyBorder="1" applyProtection="1"/>
    <xf numFmtId="179" fontId="4" fillId="0" borderId="52" xfId="0" applyNumberFormat="1" applyFont="1" applyBorder="1" applyProtection="1"/>
    <xf numFmtId="0" fontId="4" fillId="0" borderId="53" xfId="0" applyFont="1" applyBorder="1" applyAlignment="1">
      <alignment horizontal="center"/>
    </xf>
    <xf numFmtId="0" fontId="4" fillId="0" borderId="1" xfId="0" applyFont="1" applyBorder="1" applyAlignment="1"/>
    <xf numFmtId="179" fontId="4" fillId="5" borderId="24" xfId="0" applyNumberFormat="1" applyFont="1" applyFill="1" applyBorder="1" applyAlignment="1" applyProtection="1">
      <protection locked="0"/>
    </xf>
    <xf numFmtId="0" fontId="4" fillId="0" borderId="54" xfId="0" applyFont="1" applyBorder="1" applyAlignment="1">
      <alignment horizontal="center"/>
    </xf>
    <xf numFmtId="0" fontId="4" fillId="0" borderId="55" xfId="0" applyFont="1" applyBorder="1"/>
    <xf numFmtId="0" fontId="4" fillId="0" borderId="55" xfId="0" quotePrefix="1" applyFont="1" applyBorder="1" applyAlignment="1">
      <alignment horizontal="left"/>
    </xf>
    <xf numFmtId="179" fontId="4" fillId="0" borderId="56" xfId="0" applyNumberFormat="1" applyFont="1" applyBorder="1" applyProtection="1"/>
    <xf numFmtId="179" fontId="4" fillId="0" borderId="57" xfId="0" applyNumberFormat="1" applyFont="1" applyBorder="1" applyProtection="1"/>
    <xf numFmtId="179" fontId="4" fillId="0" borderId="46" xfId="0" applyNumberFormat="1" applyFont="1" applyBorder="1"/>
    <xf numFmtId="179" fontId="4" fillId="0" borderId="47" xfId="0" applyNumberFormat="1" applyFont="1" applyBorder="1"/>
    <xf numFmtId="179" fontId="4" fillId="0" borderId="48" xfId="0" applyNumberFormat="1" applyFont="1" applyBorder="1"/>
    <xf numFmtId="179" fontId="4" fillId="5" borderId="1" xfId="0" applyNumberFormat="1" applyFont="1" applyFill="1" applyBorder="1" applyProtection="1"/>
    <xf numFmtId="0" fontId="6" fillId="0" borderId="58" xfId="0" applyFont="1" applyBorder="1" applyAlignment="1">
      <alignment horizontal="centerContinuous"/>
    </xf>
    <xf numFmtId="0" fontId="4" fillId="0" borderId="58" xfId="0" applyFont="1" applyBorder="1" applyAlignment="1">
      <alignment horizontal="centerContinuous"/>
    </xf>
    <xf numFmtId="0" fontId="6" fillId="0" borderId="59" xfId="0" applyFont="1" applyBorder="1" applyAlignment="1">
      <alignment horizontal="centerContinuous"/>
    </xf>
    <xf numFmtId="0" fontId="6" fillId="0" borderId="60" xfId="0" applyFont="1" applyBorder="1" applyAlignment="1">
      <alignment horizontal="centerContinuous"/>
    </xf>
    <xf numFmtId="0" fontId="6" fillId="0" borderId="61" xfId="0" applyFont="1" applyBorder="1" applyAlignment="1">
      <alignment horizontal="centerContinuous"/>
    </xf>
    <xf numFmtId="0" fontId="4" fillId="0" borderId="61" xfId="0" applyFont="1" applyBorder="1" applyAlignment="1">
      <alignment horizontal="centerContinuous"/>
    </xf>
    <xf numFmtId="0" fontId="4" fillId="0" borderId="62" xfId="0" applyFont="1" applyBorder="1" applyAlignment="1">
      <alignment horizontal="centerContinuous"/>
    </xf>
    <xf numFmtId="0" fontId="4" fillId="0" borderId="63" xfId="0" applyFont="1" applyBorder="1" applyAlignment="1">
      <alignment horizontal="centerContinuous"/>
    </xf>
    <xf numFmtId="0" fontId="4" fillId="0" borderId="64" xfId="0" applyFont="1" applyBorder="1" applyAlignment="1">
      <alignment horizontal="centerContinuous"/>
    </xf>
    <xf numFmtId="0" fontId="4" fillId="0" borderId="65" xfId="0" applyFont="1" applyBorder="1" applyAlignment="1">
      <alignment horizontal="centerContinuous"/>
    </xf>
    <xf numFmtId="0" fontId="4" fillId="0" borderId="66" xfId="0" applyFont="1" applyBorder="1" applyAlignment="1">
      <alignment horizontal="centerContinuous"/>
    </xf>
    <xf numFmtId="0" fontId="4" fillId="0" borderId="30" xfId="0" applyFont="1" applyBorder="1" applyAlignment="1">
      <alignment horizontal="left"/>
    </xf>
    <xf numFmtId="0" fontId="4" fillId="0" borderId="42" xfId="0" applyFont="1" applyBorder="1" applyAlignment="1">
      <alignment horizontal="left"/>
    </xf>
    <xf numFmtId="179" fontId="4" fillId="0" borderId="67" xfId="0" applyNumberFormat="1" applyFont="1" applyBorder="1" applyAlignment="1" applyProtection="1"/>
    <xf numFmtId="179" fontId="4" fillId="0" borderId="68" xfId="0" applyNumberFormat="1" applyFont="1" applyBorder="1" applyAlignment="1" applyProtection="1"/>
    <xf numFmtId="179" fontId="4" fillId="0" borderId="69" xfId="0" applyNumberFormat="1" applyFont="1" applyBorder="1" applyAlignment="1"/>
    <xf numFmtId="179" fontId="4" fillId="0" borderId="70" xfId="0" applyNumberFormat="1" applyFont="1" applyBorder="1" applyAlignment="1" applyProtection="1"/>
    <xf numFmtId="179" fontId="4" fillId="0" borderId="71" xfId="0" applyNumberFormat="1" applyFont="1" applyBorder="1" applyAlignment="1" applyProtection="1"/>
    <xf numFmtId="179" fontId="4" fillId="0" borderId="72" xfId="0" applyNumberFormat="1" applyFont="1" applyBorder="1" applyAlignment="1"/>
    <xf numFmtId="0" fontId="4" fillId="0" borderId="53" xfId="0" applyFont="1" applyBorder="1"/>
    <xf numFmtId="0" fontId="4" fillId="0" borderId="24" xfId="0" applyFont="1" applyBorder="1" applyAlignment="1"/>
    <xf numFmtId="179" fontId="6" fillId="0" borderId="73" xfId="0" applyNumberFormat="1" applyFont="1" applyBorder="1" applyAlignment="1" applyProtection="1"/>
    <xf numFmtId="179" fontId="6" fillId="0" borderId="74" xfId="0" applyNumberFormat="1" applyFont="1" applyBorder="1" applyAlignment="1" applyProtection="1"/>
    <xf numFmtId="179" fontId="12" fillId="0" borderId="73" xfId="0" applyNumberFormat="1" applyFont="1" applyBorder="1" applyAlignment="1"/>
    <xf numFmtId="179" fontId="12" fillId="0" borderId="75" xfId="0" applyNumberFormat="1" applyFont="1" applyBorder="1" applyAlignment="1" applyProtection="1"/>
    <xf numFmtId="0" fontId="13" fillId="0" borderId="0" xfId="14" applyFont="1"/>
    <xf numFmtId="0" fontId="4" fillId="0" borderId="54" xfId="0" applyFont="1" applyBorder="1"/>
    <xf numFmtId="179" fontId="6" fillId="0" borderId="76" xfId="0" applyNumberFormat="1" applyFont="1" applyBorder="1" applyAlignment="1" applyProtection="1"/>
    <xf numFmtId="179" fontId="6" fillId="0" borderId="77" xfId="0" applyNumberFormat="1" applyFont="1" applyBorder="1" applyAlignment="1" applyProtection="1"/>
    <xf numFmtId="179" fontId="12" fillId="0" borderId="76" xfId="0" applyNumberFormat="1" applyFont="1" applyBorder="1" applyAlignment="1"/>
    <xf numFmtId="179" fontId="12" fillId="0" borderId="78" xfId="0" applyNumberFormat="1" applyFont="1" applyBorder="1" applyAlignment="1" applyProtection="1"/>
    <xf numFmtId="165" fontId="4" fillId="0" borderId="0" xfId="0" applyNumberFormat="1" applyFont="1" applyBorder="1" applyAlignment="1" applyProtection="1"/>
    <xf numFmtId="179" fontId="4" fillId="0" borderId="79" xfId="0" applyNumberFormat="1" applyFont="1" applyBorder="1" applyAlignment="1" applyProtection="1"/>
    <xf numFmtId="179" fontId="4" fillId="0" borderId="80" xfId="0" applyNumberFormat="1" applyFont="1" applyBorder="1" applyAlignment="1"/>
    <xf numFmtId="193" fontId="4" fillId="5" borderId="33" xfId="0" applyNumberFormat="1" applyFont="1" applyFill="1" applyBorder="1" applyAlignment="1" applyProtection="1">
      <protection locked="0"/>
    </xf>
    <xf numFmtId="3" fontId="4" fillId="0" borderId="33" xfId="0" applyNumberFormat="1" applyFont="1" applyBorder="1" applyAlignment="1" applyProtection="1">
      <alignment horizontal="center"/>
    </xf>
    <xf numFmtId="179" fontId="4" fillId="5" borderId="33" xfId="0" applyNumberFormat="1" applyFont="1" applyFill="1" applyBorder="1" applyAlignment="1" applyProtection="1">
      <protection locked="0"/>
    </xf>
    <xf numFmtId="165" fontId="4" fillId="0" borderId="33" xfId="0" applyNumberFormat="1" applyFont="1" applyBorder="1" applyProtection="1"/>
    <xf numFmtId="179" fontId="4" fillId="0" borderId="71" xfId="0" applyNumberFormat="1" applyFont="1" applyFill="1" applyBorder="1" applyAlignment="1" applyProtection="1"/>
    <xf numFmtId="165" fontId="4" fillId="0" borderId="24" xfId="0" applyNumberFormat="1" applyFont="1" applyBorder="1" applyProtection="1"/>
    <xf numFmtId="179" fontId="4" fillId="0" borderId="73" xfId="0" applyNumberFormat="1" applyFont="1" applyFill="1" applyBorder="1" applyAlignment="1" applyProtection="1"/>
    <xf numFmtId="179" fontId="4" fillId="0" borderId="75" xfId="0" applyNumberFormat="1" applyFont="1" applyBorder="1" applyAlignment="1"/>
    <xf numFmtId="179" fontId="4" fillId="0" borderId="73" xfId="0" applyNumberFormat="1" applyFont="1" applyBorder="1" applyAlignment="1" applyProtection="1"/>
    <xf numFmtId="0" fontId="6" fillId="0" borderId="32" xfId="0" applyFont="1" applyBorder="1" applyAlignment="1">
      <alignment horizontal="center"/>
    </xf>
    <xf numFmtId="179" fontId="6" fillId="0" borderId="71" xfId="0" applyNumberFormat="1" applyFont="1" applyBorder="1" applyAlignment="1" applyProtection="1"/>
    <xf numFmtId="179" fontId="6" fillId="0" borderId="72" xfId="0" applyNumberFormat="1" applyFont="1" applyBorder="1" applyAlignment="1" applyProtection="1"/>
    <xf numFmtId="179" fontId="6" fillId="0" borderId="81" xfId="0" applyNumberFormat="1" applyFont="1" applyBorder="1" applyAlignment="1"/>
    <xf numFmtId="179" fontId="6" fillId="0" borderId="72" xfId="0" applyNumberFormat="1" applyFont="1" applyBorder="1" applyAlignment="1"/>
    <xf numFmtId="179" fontId="6" fillId="0" borderId="76" xfId="0" applyNumberFormat="1" applyFont="1" applyBorder="1" applyAlignment="1"/>
    <xf numFmtId="179" fontId="6" fillId="0" borderId="78" xfId="0" applyNumberFormat="1" applyFont="1" applyBorder="1" applyAlignment="1"/>
    <xf numFmtId="0" fontId="16" fillId="0" borderId="0" xfId="0" applyFont="1" applyProtection="1">
      <protection locked="0"/>
    </xf>
    <xf numFmtId="0" fontId="8" fillId="0" borderId="0" xfId="0" quotePrefix="1" applyFont="1" applyAlignment="1" applyProtection="1">
      <alignment horizontal="left"/>
    </xf>
    <xf numFmtId="0" fontId="0" fillId="0" borderId="0" xfId="0" applyProtection="1"/>
    <xf numFmtId="0" fontId="0" fillId="0" borderId="1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quotePrefix="1" applyBorder="1" applyAlignment="1" applyProtection="1">
      <alignment horizontal="right"/>
    </xf>
    <xf numFmtId="0" fontId="0" fillId="0" borderId="0" xfId="0" applyProtection="1">
      <protection locked="0"/>
    </xf>
    <xf numFmtId="0" fontId="0" fillId="6" borderId="82" xfId="0" applyFill="1" applyBorder="1" applyProtection="1"/>
    <xf numFmtId="0" fontId="0" fillId="6" borderId="83" xfId="0" applyFill="1" applyBorder="1" applyProtection="1"/>
    <xf numFmtId="0" fontId="0" fillId="0" borderId="0" xfId="0" applyFill="1" applyProtection="1"/>
    <xf numFmtId="0" fontId="0" fillId="3" borderId="0" xfId="0" applyFill="1" applyBorder="1" applyProtection="1"/>
    <xf numFmtId="0" fontId="0" fillId="3" borderId="0" xfId="0" applyFill="1" applyProtection="1"/>
    <xf numFmtId="0" fontId="0" fillId="6" borderId="5" xfId="0" applyFill="1" applyBorder="1" applyProtection="1"/>
    <xf numFmtId="0" fontId="0" fillId="6" borderId="0" xfId="0" applyFill="1" applyBorder="1" applyProtection="1"/>
    <xf numFmtId="0" fontId="0" fillId="0" borderId="0" xfId="0" applyFill="1" applyBorder="1" applyProtection="1"/>
    <xf numFmtId="0" fontId="6" fillId="6" borderId="23" xfId="0" applyFont="1" applyFill="1" applyBorder="1" applyAlignment="1" applyProtection="1">
      <alignment horizontal="centerContinuous"/>
    </xf>
    <xf numFmtId="0" fontId="6" fillId="3" borderId="0" xfId="0" applyFont="1" applyFill="1" applyBorder="1" applyProtection="1"/>
    <xf numFmtId="0" fontId="6" fillId="0" borderId="0" xfId="0" applyFont="1" applyFill="1" applyProtection="1"/>
    <xf numFmtId="0" fontId="6" fillId="6" borderId="23" xfId="0" quotePrefix="1" applyFont="1" applyFill="1" applyBorder="1" applyAlignment="1" applyProtection="1">
      <alignment horizontal="center"/>
    </xf>
    <xf numFmtId="0" fontId="6" fillId="3" borderId="0" xfId="0" applyFont="1" applyFill="1" applyProtection="1"/>
    <xf numFmtId="0" fontId="6" fillId="6" borderId="14" xfId="0" applyFont="1" applyFill="1" applyBorder="1" applyAlignment="1" applyProtection="1">
      <alignment horizontal="centerContinuous"/>
    </xf>
    <xf numFmtId="0" fontId="6" fillId="6" borderId="84" xfId="0" applyFont="1" applyFill="1" applyBorder="1" applyAlignment="1" applyProtection="1">
      <alignment horizontal="centerContinuous"/>
    </xf>
    <xf numFmtId="0" fontId="6" fillId="6" borderId="15" xfId="0" applyFont="1" applyFill="1" applyBorder="1" applyAlignment="1" applyProtection="1">
      <alignment horizontal="centerContinuous"/>
    </xf>
    <xf numFmtId="0" fontId="0" fillId="6" borderId="1" xfId="0" applyFill="1" applyBorder="1" applyProtection="1"/>
    <xf numFmtId="0" fontId="0" fillId="0" borderId="1" xfId="0" applyFill="1" applyBorder="1" applyProtection="1">
      <protection locked="0"/>
    </xf>
    <xf numFmtId="0" fontId="4" fillId="6" borderId="85" xfId="0" applyFont="1" applyFill="1" applyBorder="1" applyAlignment="1" applyProtection="1">
      <alignment horizontal="center"/>
    </xf>
    <xf numFmtId="0" fontId="6" fillId="6" borderId="85" xfId="0" applyFont="1" applyFill="1" applyBorder="1" applyAlignment="1" applyProtection="1">
      <alignment horizontal="center"/>
    </xf>
    <xf numFmtId="0" fontId="4" fillId="6" borderId="85" xfId="0" quotePrefix="1" applyFont="1" applyFill="1" applyBorder="1" applyAlignment="1" applyProtection="1">
      <alignment horizontal="center"/>
    </xf>
    <xf numFmtId="0" fontId="4" fillId="6" borderId="29" xfId="0" quotePrefix="1" applyFont="1" applyFill="1" applyBorder="1" applyAlignment="1" applyProtection="1">
      <alignment horizontal="center"/>
    </xf>
    <xf numFmtId="0" fontId="4" fillId="6" borderId="86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0" fillId="6" borderId="19" xfId="0" quotePrefix="1" applyFill="1" applyBorder="1" applyAlignment="1" applyProtection="1">
      <alignment horizontal="left"/>
    </xf>
    <xf numFmtId="0" fontId="0" fillId="6" borderId="2" xfId="0" applyFill="1" applyBorder="1" applyProtection="1"/>
    <xf numFmtId="193" fontId="0" fillId="0" borderId="2" xfId="0" applyNumberFormat="1" applyFill="1" applyBorder="1" applyProtection="1">
      <protection locked="0"/>
    </xf>
    <xf numFmtId="0" fontId="0" fillId="6" borderId="20" xfId="0" applyFill="1" applyBorder="1" applyProtection="1"/>
    <xf numFmtId="181" fontId="0" fillId="0" borderId="87" xfId="0" applyNumberFormat="1" applyBorder="1" applyProtection="1"/>
    <xf numFmtId="181" fontId="0" fillId="0" borderId="19" xfId="0" applyNumberFormat="1" applyBorder="1" applyProtection="1"/>
    <xf numFmtId="0" fontId="0" fillId="6" borderId="88" xfId="0" quotePrefix="1" applyFill="1" applyBorder="1" applyAlignment="1" applyProtection="1">
      <alignment horizontal="left"/>
    </xf>
    <xf numFmtId="0" fontId="0" fillId="6" borderId="4" xfId="0" applyFill="1" applyBorder="1" applyProtection="1"/>
    <xf numFmtId="0" fontId="0" fillId="6" borderId="89" xfId="0" applyFill="1" applyBorder="1" applyAlignment="1" applyProtection="1">
      <alignment horizontal="right"/>
    </xf>
    <xf numFmtId="193" fontId="0" fillId="0" borderId="89" xfId="0" applyNumberFormat="1" applyFill="1" applyBorder="1" applyProtection="1">
      <protection locked="0"/>
    </xf>
    <xf numFmtId="0" fontId="0" fillId="6" borderId="90" xfId="0" applyFill="1" applyBorder="1" applyProtection="1"/>
    <xf numFmtId="179" fontId="0" fillId="3" borderId="0" xfId="0" applyNumberFormat="1" applyFill="1" applyBorder="1" applyProtection="1"/>
    <xf numFmtId="181" fontId="0" fillId="0" borderId="91" xfId="0" applyNumberFormat="1" applyBorder="1" applyProtection="1"/>
    <xf numFmtId="181" fontId="0" fillId="0" borderId="92" xfId="0" applyNumberFormat="1" applyBorder="1" applyProtection="1"/>
    <xf numFmtId="183" fontId="0" fillId="0" borderId="87" xfId="0" applyNumberFormat="1" applyFill="1" applyBorder="1" applyProtection="1"/>
    <xf numFmtId="0" fontId="0" fillId="6" borderId="92" xfId="0" quotePrefix="1" applyFill="1" applyBorder="1" applyAlignment="1" applyProtection="1">
      <alignment horizontal="left"/>
    </xf>
    <xf numFmtId="0" fontId="0" fillId="6" borderId="89" xfId="0" applyFill="1" applyBorder="1" applyProtection="1"/>
    <xf numFmtId="0" fontId="0" fillId="6" borderId="93" xfId="0" applyFill="1" applyBorder="1" applyProtection="1"/>
    <xf numFmtId="183" fontId="0" fillId="0" borderId="91" xfId="0" applyNumberFormat="1" applyBorder="1" applyProtection="1"/>
    <xf numFmtId="183" fontId="0" fillId="0" borderId="94" xfId="0" applyNumberFormat="1" applyBorder="1" applyProtection="1"/>
    <xf numFmtId="183" fontId="0" fillId="0" borderId="26" xfId="0" applyNumberFormat="1" applyBorder="1" applyProtection="1"/>
    <xf numFmtId="181" fontId="0" fillId="0" borderId="94" xfId="0" applyNumberFormat="1" applyBorder="1" applyProtection="1"/>
    <xf numFmtId="0" fontId="6" fillId="6" borderId="26" xfId="0" quotePrefix="1" applyFont="1" applyFill="1" applyBorder="1" applyAlignment="1" applyProtection="1">
      <alignment horizontal="left"/>
    </xf>
    <xf numFmtId="0" fontId="0" fillId="6" borderId="3" xfId="0" applyFill="1" applyBorder="1" applyProtection="1"/>
    <xf numFmtId="0" fontId="0" fillId="6" borderId="25" xfId="0" applyFill="1" applyBorder="1" applyProtection="1"/>
    <xf numFmtId="182" fontId="6" fillId="0" borderId="85" xfId="0" applyNumberFormat="1" applyFont="1" applyBorder="1" applyProtection="1"/>
    <xf numFmtId="183" fontId="0" fillId="3" borderId="0" xfId="0" applyNumberFormat="1" applyFill="1" applyBorder="1" applyProtection="1"/>
    <xf numFmtId="0" fontId="0" fillId="6" borderId="89" xfId="0" quotePrefix="1" applyFill="1" applyBorder="1" applyAlignment="1" applyProtection="1">
      <alignment horizontal="left"/>
    </xf>
    <xf numFmtId="186" fontId="0" fillId="6" borderId="93" xfId="0" applyNumberFormat="1" applyFill="1" applyBorder="1" applyProtection="1"/>
    <xf numFmtId="183" fontId="0" fillId="0" borderId="87" xfId="0" applyNumberFormat="1" applyBorder="1" applyProtection="1"/>
    <xf numFmtId="183" fontId="0" fillId="3" borderId="0" xfId="0" quotePrefix="1" applyNumberFormat="1" applyFill="1" applyBorder="1" applyAlignment="1" applyProtection="1">
      <alignment horizontal="center"/>
    </xf>
    <xf numFmtId="183" fontId="0" fillId="0" borderId="86" xfId="0" applyNumberFormat="1" applyBorder="1" applyProtection="1"/>
    <xf numFmtId="181" fontId="0" fillId="0" borderId="86" xfId="0" applyNumberFormat="1" applyBorder="1" applyProtection="1"/>
    <xf numFmtId="0" fontId="0" fillId="3" borderId="0" xfId="0" quotePrefix="1" applyFill="1" applyBorder="1" applyAlignment="1" applyProtection="1">
      <alignment horizontal="center"/>
    </xf>
    <xf numFmtId="0" fontId="17" fillId="0" borderId="0" xfId="0" quotePrefix="1" applyFont="1" applyAlignment="1" applyProtection="1">
      <alignment horizontal="left"/>
      <protection locked="0"/>
    </xf>
    <xf numFmtId="0" fontId="6" fillId="6" borderId="95" xfId="0" applyFont="1" applyFill="1" applyBorder="1" applyAlignment="1" applyProtection="1">
      <alignment horizontal="left"/>
    </xf>
    <xf numFmtId="0" fontId="0" fillId="6" borderId="96" xfId="0" applyFill="1" applyBorder="1" applyProtection="1"/>
    <xf numFmtId="0" fontId="0" fillId="6" borderId="97" xfId="0" applyFill="1" applyBorder="1" applyProtection="1"/>
    <xf numFmtId="182" fontId="6" fillId="0" borderId="98" xfId="0" applyNumberFormat="1" applyFont="1" applyBorder="1" applyProtection="1"/>
    <xf numFmtId="182" fontId="6" fillId="0" borderId="95" xfId="0" applyNumberFormat="1" applyFont="1" applyBorder="1" applyProtection="1"/>
    <xf numFmtId="185" fontId="6" fillId="0" borderId="15" xfId="0" applyNumberFormat="1" applyFont="1" applyBorder="1" applyProtection="1"/>
    <xf numFmtId="191" fontId="0" fillId="0" borderId="89" xfId="0" applyNumberFormat="1" applyFill="1" applyBorder="1" applyProtection="1">
      <protection locked="0"/>
    </xf>
    <xf numFmtId="187" fontId="0" fillId="6" borderId="93" xfId="0" applyNumberFormat="1" applyFill="1" applyBorder="1" applyProtection="1"/>
    <xf numFmtId="0" fontId="6" fillId="6" borderId="92" xfId="0" applyFont="1" applyFill="1" applyBorder="1" applyAlignment="1" applyProtection="1">
      <alignment horizontal="left"/>
    </xf>
    <xf numFmtId="182" fontId="6" fillId="0" borderId="91" xfId="0" applyNumberFormat="1" applyFont="1" applyBorder="1" applyProtection="1"/>
    <xf numFmtId="182" fontId="6" fillId="0" borderId="92" xfId="0" applyNumberFormat="1" applyFont="1" applyBorder="1" applyProtection="1"/>
    <xf numFmtId="194" fontId="0" fillId="0" borderId="89" xfId="0" applyNumberFormat="1" applyFill="1" applyBorder="1" applyAlignment="1" applyProtection="1">
      <alignment horizontal="right"/>
      <protection locked="0"/>
    </xf>
    <xf numFmtId="188" fontId="0" fillId="6" borderId="93" xfId="0" applyNumberFormat="1" applyFill="1" applyBorder="1" applyProtection="1"/>
    <xf numFmtId="183" fontId="0" fillId="0" borderId="85" xfId="0" applyNumberFormat="1" applyBorder="1" applyProtection="1"/>
    <xf numFmtId="181" fontId="0" fillId="0" borderId="85" xfId="0" applyNumberFormat="1" applyBorder="1" applyProtection="1"/>
    <xf numFmtId="181" fontId="0" fillId="0" borderId="99" xfId="0" applyNumberFormat="1" applyBorder="1" applyProtection="1"/>
    <xf numFmtId="182" fontId="6" fillId="0" borderId="26" xfId="0" applyNumberFormat="1" applyFont="1" applyBorder="1" applyProtection="1"/>
    <xf numFmtId="0" fontId="6" fillId="6" borderId="5" xfId="0" applyFont="1" applyFill="1" applyBorder="1" applyAlignment="1" applyProtection="1">
      <alignment horizontal="left"/>
    </xf>
    <xf numFmtId="180" fontId="0" fillId="3" borderId="0" xfId="0" applyNumberFormat="1" applyFill="1" applyBorder="1" applyProtection="1"/>
    <xf numFmtId="182" fontId="6" fillId="0" borderId="87" xfId="0" applyNumberFormat="1" applyFont="1" applyBorder="1" applyProtection="1"/>
    <xf numFmtId="0" fontId="6" fillId="6" borderId="5" xfId="0" quotePrefix="1" applyFont="1" applyFill="1" applyBorder="1" applyAlignment="1" applyProtection="1">
      <alignment horizontal="left"/>
    </xf>
    <xf numFmtId="0" fontId="0" fillId="6" borderId="89" xfId="0" quotePrefix="1" applyFill="1" applyBorder="1" applyAlignment="1" applyProtection="1">
      <alignment horizontal="right"/>
    </xf>
    <xf numFmtId="0" fontId="0" fillId="6" borderId="93" xfId="0" quotePrefix="1" applyFill="1" applyBorder="1" applyAlignment="1" applyProtection="1">
      <alignment horizontal="right"/>
    </xf>
    <xf numFmtId="184" fontId="0" fillId="0" borderId="91" xfId="0" applyNumberFormat="1" applyBorder="1" applyProtection="1"/>
    <xf numFmtId="184" fontId="0" fillId="0" borderId="91" xfId="0" applyNumberFormat="1" applyBorder="1" applyAlignment="1" applyProtection="1">
      <alignment horizontal="right"/>
    </xf>
    <xf numFmtId="0" fontId="4" fillId="6" borderId="29" xfId="0" quotePrefix="1" applyFont="1" applyFill="1" applyBorder="1" applyAlignment="1" applyProtection="1">
      <alignment horizontal="left"/>
    </xf>
    <xf numFmtId="0" fontId="0" fillId="6" borderId="1" xfId="0" applyFill="1" applyBorder="1" applyAlignment="1" applyProtection="1">
      <alignment horizontal="right"/>
    </xf>
    <xf numFmtId="0" fontId="0" fillId="6" borderId="6" xfId="0" applyFill="1" applyBorder="1" applyAlignment="1" applyProtection="1">
      <alignment horizontal="right"/>
    </xf>
    <xf numFmtId="182" fontId="6" fillId="0" borderId="94" xfId="0" applyNumberFormat="1" applyFont="1" applyBorder="1" applyProtection="1"/>
    <xf numFmtId="3" fontId="0" fillId="6" borderId="2" xfId="0" quotePrefix="1" applyNumberFormat="1" applyFill="1" applyBorder="1" applyAlignment="1" applyProtection="1">
      <alignment horizontal="left"/>
    </xf>
    <xf numFmtId="193" fontId="0" fillId="0" borderId="4" xfId="0" applyNumberFormat="1" applyFill="1" applyBorder="1" applyProtection="1">
      <protection locked="0"/>
    </xf>
    <xf numFmtId="3" fontId="0" fillId="6" borderId="4" xfId="0" quotePrefix="1" applyNumberFormat="1" applyFill="1" applyBorder="1" applyAlignment="1" applyProtection="1">
      <alignment horizontal="left"/>
    </xf>
    <xf numFmtId="183" fontId="0" fillId="0" borderId="99" xfId="0" applyNumberFormat="1" applyBorder="1" applyProtection="1"/>
    <xf numFmtId="3" fontId="0" fillId="6" borderId="89" xfId="0" applyNumberFormat="1" applyFill="1" applyBorder="1" applyProtection="1"/>
    <xf numFmtId="183" fontId="0" fillId="0" borderId="98" xfId="0" applyNumberFormat="1" applyBorder="1" applyProtection="1"/>
    <xf numFmtId="194" fontId="0" fillId="0" borderId="89" xfId="0" applyNumberFormat="1" applyFill="1" applyBorder="1" applyProtection="1">
      <protection locked="0"/>
    </xf>
    <xf numFmtId="183" fontId="0" fillId="3" borderId="86" xfId="0" quotePrefix="1" applyNumberFormat="1" applyFill="1" applyBorder="1" applyAlignment="1" applyProtection="1">
      <alignment horizontal="center"/>
    </xf>
    <xf numFmtId="0" fontId="0" fillId="6" borderId="26" xfId="0" quotePrefix="1" applyFill="1" applyBorder="1" applyAlignment="1" applyProtection="1">
      <alignment horizontal="left"/>
    </xf>
    <xf numFmtId="182" fontId="6" fillId="0" borderId="29" xfId="0" applyNumberFormat="1" applyFont="1" applyBorder="1" applyProtection="1"/>
    <xf numFmtId="189" fontId="6" fillId="0" borderId="94" xfId="12" applyNumberFormat="1" applyFont="1" applyBorder="1" applyProtection="1"/>
    <xf numFmtId="0" fontId="0" fillId="0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20" fillId="0" borderId="55" xfId="0" applyFont="1" applyBorder="1" applyAlignment="1">
      <alignment horizontal="left"/>
    </xf>
    <xf numFmtId="0" fontId="21" fillId="0" borderId="55" xfId="0" applyFont="1" applyBorder="1" applyAlignment="1"/>
    <xf numFmtId="165" fontId="20" fillId="0" borderId="55" xfId="0" applyNumberFormat="1" applyFont="1" applyBorder="1" applyAlignment="1" applyProtection="1"/>
    <xf numFmtId="0" fontId="4" fillId="0" borderId="1" xfId="0" applyFont="1" applyBorder="1" applyAlignment="1">
      <alignment horizontal="left"/>
    </xf>
    <xf numFmtId="179" fontId="4" fillId="0" borderId="100" xfId="0" applyNumberFormat="1" applyFont="1" applyBorder="1" applyProtection="1"/>
    <xf numFmtId="179" fontId="4" fillId="0" borderId="101" xfId="0" applyNumberFormat="1" applyFont="1" applyBorder="1" applyProtection="1"/>
    <xf numFmtId="179" fontId="4" fillId="0" borderId="102" xfId="0" applyNumberFormat="1" applyFont="1" applyBorder="1" applyProtection="1"/>
    <xf numFmtId="179" fontId="4" fillId="5" borderId="55" xfId="0" applyNumberFormat="1" applyFont="1" applyFill="1" applyBorder="1" applyAlignment="1" applyProtection="1">
      <protection locked="0"/>
    </xf>
    <xf numFmtId="179" fontId="4" fillId="0" borderId="56" xfId="0" applyNumberFormat="1" applyFont="1" applyFill="1" applyBorder="1" applyProtection="1"/>
    <xf numFmtId="179" fontId="4" fillId="0" borderId="57" xfId="0" applyNumberFormat="1" applyFont="1" applyFill="1" applyBorder="1" applyProtection="1"/>
    <xf numFmtId="179" fontId="4" fillId="0" borderId="103" xfId="0" applyNumberFormat="1" applyFont="1" applyFill="1" applyBorder="1" applyProtection="1"/>
    <xf numFmtId="0" fontId="20" fillId="0" borderId="8" xfId="14" quotePrefix="1" applyFont="1" applyBorder="1" applyAlignment="1">
      <alignment horizontal="right"/>
    </xf>
    <xf numFmtId="0" fontId="20" fillId="0" borderId="8" xfId="0" applyFont="1" applyBorder="1"/>
    <xf numFmtId="192" fontId="20" fillId="0" borderId="104" xfId="12" applyNumberFormat="1" applyFont="1" applyBorder="1"/>
    <xf numFmtId="192" fontId="20" fillId="0" borderId="105" xfId="12" applyNumberFormat="1" applyFont="1" applyBorder="1"/>
    <xf numFmtId="179" fontId="20" fillId="0" borderId="104" xfId="0" applyNumberFormat="1" applyFont="1" applyBorder="1"/>
    <xf numFmtId="179" fontId="20" fillId="0" borderId="105" xfId="0" applyNumberFormat="1" applyFont="1" applyBorder="1"/>
    <xf numFmtId="179" fontId="20" fillId="0" borderId="106" xfId="0" applyNumberFormat="1" applyFont="1" applyBorder="1"/>
    <xf numFmtId="179" fontId="4" fillId="0" borderId="75" xfId="0" applyNumberFormat="1" applyFont="1" applyBorder="1" applyAlignment="1">
      <alignment horizontal="right"/>
    </xf>
    <xf numFmtId="0" fontId="6" fillId="0" borderId="17" xfId="0" applyFont="1" applyBorder="1" applyAlignment="1">
      <alignment horizontal="left"/>
    </xf>
    <xf numFmtId="0" fontId="6" fillId="0" borderId="17" xfId="0" applyFont="1" applyBorder="1" applyAlignment="1"/>
    <xf numFmtId="165" fontId="4" fillId="0" borderId="17" xfId="0" applyNumberFormat="1" applyFont="1" applyBorder="1" applyAlignment="1" applyProtection="1"/>
    <xf numFmtId="0" fontId="6" fillId="0" borderId="54" xfId="0" applyFont="1" applyBorder="1" applyAlignment="1">
      <alignment horizontal="center"/>
    </xf>
    <xf numFmtId="0" fontId="6" fillId="0" borderId="107" xfId="0" applyFont="1" applyBorder="1" applyAlignment="1">
      <alignment horizontal="center"/>
    </xf>
    <xf numFmtId="193" fontId="4" fillId="5" borderId="24" xfId="0" applyNumberFormat="1" applyFont="1" applyFill="1" applyBorder="1" applyAlignment="1" applyProtection="1">
      <protection locked="0"/>
    </xf>
    <xf numFmtId="3" fontId="4" fillId="0" borderId="24" xfId="0" applyNumberFormat="1" applyFont="1" applyBorder="1" applyProtection="1"/>
    <xf numFmtId="0" fontId="4" fillId="4" borderId="1" xfId="0" applyFont="1" applyFill="1" applyBorder="1" applyAlignment="1" applyProtection="1">
      <protection locked="0"/>
    </xf>
    <xf numFmtId="0" fontId="4" fillId="0" borderId="1" xfId="0" quotePrefix="1" applyFont="1" applyBorder="1" applyAlignment="1"/>
    <xf numFmtId="179" fontId="4" fillId="0" borderId="1" xfId="0" quotePrefix="1" applyNumberFormat="1" applyFont="1" applyBorder="1" applyAlignment="1"/>
    <xf numFmtId="179" fontId="4" fillId="0" borderId="108" xfId="0" applyNumberFormat="1" applyFont="1" applyBorder="1"/>
    <xf numFmtId="0" fontId="6" fillId="0" borderId="0" xfId="0" quotePrefix="1" applyFont="1" applyBorder="1" applyAlignment="1">
      <alignment horizontal="left"/>
    </xf>
    <xf numFmtId="0" fontId="4" fillId="0" borderId="109" xfId="0" applyFont="1" applyBorder="1"/>
    <xf numFmtId="177" fontId="4" fillId="5" borderId="109" xfId="0" applyNumberFormat="1" applyFont="1" applyFill="1" applyBorder="1" applyAlignment="1" applyProtection="1">
      <protection locked="0"/>
    </xf>
    <xf numFmtId="0" fontId="4" fillId="0" borderId="109" xfId="0" quotePrefix="1" applyFont="1" applyBorder="1" applyAlignment="1">
      <alignment horizontal="left"/>
    </xf>
    <xf numFmtId="179" fontId="4" fillId="0" borderId="110" xfId="0" applyNumberFormat="1" applyFont="1" applyBorder="1" applyAlignment="1">
      <alignment horizontal="right"/>
    </xf>
    <xf numFmtId="179" fontId="4" fillId="0" borderId="111" xfId="0" applyNumberFormat="1" applyFont="1" applyBorder="1" applyAlignment="1">
      <alignment horizontal="right"/>
    </xf>
    <xf numFmtId="179" fontId="4" fillId="0" borderId="110" xfId="0" applyNumberFormat="1" applyFont="1" applyBorder="1" applyProtection="1"/>
    <xf numFmtId="179" fontId="4" fillId="0" borderId="111" xfId="0" applyNumberFormat="1" applyFont="1" applyBorder="1" applyProtection="1"/>
    <xf numFmtId="179" fontId="4" fillId="0" borderId="112" xfId="0" applyNumberFormat="1" applyFont="1" applyBorder="1" applyProtection="1"/>
    <xf numFmtId="0" fontId="4" fillId="0" borderId="4" xfId="0" quotePrefix="1" applyFont="1" applyBorder="1" applyAlignment="1">
      <alignment horizontal="left"/>
    </xf>
    <xf numFmtId="179" fontId="4" fillId="5" borderId="4" xfId="0" applyNumberFormat="1" applyFont="1" applyFill="1" applyBorder="1"/>
    <xf numFmtId="178" fontId="4" fillId="5" borderId="4" xfId="0" applyNumberFormat="1" applyFont="1" applyFill="1" applyBorder="1" applyProtection="1">
      <protection locked="0"/>
    </xf>
    <xf numFmtId="179" fontId="4" fillId="0" borderId="21" xfId="0" applyNumberFormat="1" applyFont="1" applyBorder="1"/>
    <xf numFmtId="179" fontId="4" fillId="0" borderId="22" xfId="0" applyNumberFormat="1" applyFont="1" applyBorder="1"/>
    <xf numFmtId="179" fontId="4" fillId="0" borderId="21" xfId="0" applyNumberFormat="1" applyFont="1" applyBorder="1" applyAlignment="1">
      <alignment horizontal="right"/>
    </xf>
    <xf numFmtId="179" fontId="4" fillId="0" borderId="113" xfId="0" applyNumberFormat="1" applyFont="1" applyBorder="1"/>
    <xf numFmtId="179" fontId="4" fillId="5" borderId="3" xfId="0" applyNumberFormat="1" applyFont="1" applyFill="1" applyBorder="1"/>
    <xf numFmtId="3" fontId="4" fillId="0" borderId="3" xfId="0" applyNumberFormat="1" applyFont="1" applyBorder="1" applyProtection="1"/>
    <xf numFmtId="179" fontId="4" fillId="0" borderId="27" xfId="0" applyNumberFormat="1" applyFont="1" applyBorder="1" applyAlignment="1" applyProtection="1">
      <alignment horizontal="right"/>
    </xf>
    <xf numFmtId="179" fontId="4" fillId="0" borderId="28" xfId="0" applyNumberFormat="1" applyFont="1" applyBorder="1" applyAlignment="1" applyProtection="1">
      <alignment horizontal="right"/>
    </xf>
    <xf numFmtId="179" fontId="4" fillId="0" borderId="27" xfId="0" applyNumberFormat="1" applyFont="1" applyBorder="1" applyProtection="1"/>
    <xf numFmtId="179" fontId="4" fillId="0" borderId="28" xfId="0" applyNumberFormat="1" applyFont="1" applyBorder="1" applyProtection="1"/>
    <xf numFmtId="179" fontId="4" fillId="0" borderId="114" xfId="0" applyNumberFormat="1" applyFont="1" applyBorder="1" applyProtection="1"/>
    <xf numFmtId="179" fontId="4" fillId="5" borderId="4" xfId="0" quotePrefix="1" applyNumberFormat="1" applyFont="1" applyFill="1" applyBorder="1" applyAlignment="1">
      <alignment horizontal="right"/>
    </xf>
    <xf numFmtId="177" fontId="4" fillId="5" borderId="4" xfId="0" applyNumberFormat="1" applyFont="1" applyFill="1" applyBorder="1" applyAlignment="1" applyProtection="1">
      <protection locked="0"/>
    </xf>
    <xf numFmtId="179" fontId="4" fillId="0" borderId="21" xfId="0" applyNumberFormat="1" applyFont="1" applyBorder="1" applyProtection="1"/>
    <xf numFmtId="179" fontId="4" fillId="0" borderId="22" xfId="0" applyNumberFormat="1" applyFont="1" applyBorder="1" applyProtection="1"/>
    <xf numFmtId="179" fontId="4" fillId="0" borderId="21" xfId="0" applyNumberFormat="1" applyFont="1" applyBorder="1" applyAlignment="1" applyProtection="1">
      <alignment horizontal="right"/>
    </xf>
    <xf numFmtId="179" fontId="4" fillId="0" borderId="113" xfId="0" applyNumberFormat="1" applyFont="1" applyBorder="1" applyAlignment="1" applyProtection="1">
      <alignment horizontal="right"/>
    </xf>
    <xf numFmtId="0" fontId="4" fillId="0" borderId="3" xfId="0" quotePrefix="1" applyFont="1" applyBorder="1" applyAlignment="1">
      <alignment horizontal="left"/>
    </xf>
    <xf numFmtId="178" fontId="4" fillId="5" borderId="3" xfId="0" applyNumberFormat="1" applyFont="1" applyFill="1" applyBorder="1" applyAlignment="1" applyProtection="1">
      <protection locked="0"/>
    </xf>
    <xf numFmtId="179" fontId="4" fillId="0" borderId="22" xfId="0" applyNumberFormat="1" applyFont="1" applyBorder="1" applyAlignment="1">
      <alignment horizontal="right"/>
    </xf>
    <xf numFmtId="179" fontId="4" fillId="0" borderId="113" xfId="0" applyNumberFormat="1" applyFont="1" applyBorder="1" applyProtection="1"/>
    <xf numFmtId="179" fontId="4" fillId="5" borderId="3" xfId="0" applyNumberFormat="1" applyFont="1" applyFill="1" applyBorder="1" applyAlignment="1">
      <alignment horizontal="right"/>
    </xf>
    <xf numFmtId="177" fontId="4" fillId="5" borderId="3" xfId="0" applyNumberFormat="1" applyFont="1" applyFill="1" applyBorder="1" applyAlignment="1" applyProtection="1">
      <protection locked="0"/>
    </xf>
    <xf numFmtId="179" fontId="4" fillId="0" borderId="114" xfId="0" applyNumberFormat="1" applyFont="1" applyBorder="1" applyAlignment="1" applyProtection="1">
      <alignment horizontal="right"/>
    </xf>
    <xf numFmtId="179" fontId="4" fillId="5" borderId="4" xfId="0" applyNumberFormat="1" applyFont="1" applyFill="1" applyBorder="1" applyAlignment="1" applyProtection="1">
      <protection locked="0"/>
    </xf>
    <xf numFmtId="179" fontId="4" fillId="0" borderId="27" xfId="0" applyNumberFormat="1" applyFont="1" applyBorder="1" applyAlignment="1">
      <alignment horizontal="right"/>
    </xf>
    <xf numFmtId="179" fontId="4" fillId="0" borderId="28" xfId="0" applyNumberFormat="1" applyFont="1" applyBorder="1" applyAlignment="1">
      <alignment horizontal="right"/>
    </xf>
    <xf numFmtId="179" fontId="4" fillId="0" borderId="46" xfId="0" applyNumberFormat="1" applyFont="1" applyFill="1" applyBorder="1" applyProtection="1"/>
    <xf numFmtId="179" fontId="4" fillId="0" borderId="47" xfId="0" applyNumberFormat="1" applyFont="1" applyFill="1" applyBorder="1" applyProtection="1"/>
    <xf numFmtId="179" fontId="4" fillId="0" borderId="48" xfId="0" applyNumberFormat="1" applyFont="1" applyFill="1" applyBorder="1" applyProtection="1"/>
    <xf numFmtId="179" fontId="4" fillId="5" borderId="3" xfId="0" applyNumberFormat="1" applyFont="1" applyFill="1" applyBorder="1" applyAlignment="1" applyProtection="1">
      <protection locked="0"/>
    </xf>
    <xf numFmtId="165" fontId="4" fillId="0" borderId="3" xfId="0" quotePrefix="1" applyNumberFormat="1" applyFont="1" applyBorder="1" applyAlignment="1" applyProtection="1">
      <alignment horizontal="left"/>
    </xf>
    <xf numFmtId="0" fontId="6" fillId="0" borderId="0" xfId="14" quotePrefix="1" applyFont="1" applyBorder="1" applyAlignment="1">
      <alignment horizontal="left"/>
    </xf>
    <xf numFmtId="179" fontId="20" fillId="0" borderId="55" xfId="0" applyNumberFormat="1" applyFont="1" applyBorder="1" applyAlignment="1"/>
    <xf numFmtId="0" fontId="6" fillId="0" borderId="115" xfId="0" applyFont="1" applyBorder="1" applyAlignment="1">
      <alignment horizontal="centerContinuous"/>
    </xf>
    <xf numFmtId="179" fontId="4" fillId="5" borderId="109" xfId="0" applyNumberFormat="1" applyFont="1" applyFill="1" applyBorder="1" applyAlignment="1">
      <alignment horizontal="right"/>
    </xf>
    <xf numFmtId="49" fontId="4" fillId="0" borderId="1" xfId="0" applyNumberFormat="1" applyFont="1" applyBorder="1" applyAlignment="1" applyProtection="1">
      <alignment horizontal="left"/>
      <protection locked="0"/>
    </xf>
    <xf numFmtId="170" fontId="4" fillId="0" borderId="109" xfId="0" applyNumberFormat="1" applyFont="1" applyBorder="1" applyAlignment="1">
      <alignment horizontal="left"/>
    </xf>
    <xf numFmtId="193" fontId="4" fillId="5" borderId="1" xfId="0" applyNumberFormat="1" applyFont="1" applyFill="1" applyBorder="1" applyAlignment="1" applyProtection="1">
      <protection locked="0"/>
    </xf>
    <xf numFmtId="3" fontId="4" fillId="0" borderId="1" xfId="0" applyNumberFormat="1" applyFont="1" applyBorder="1" applyProtection="1"/>
    <xf numFmtId="3" fontId="4" fillId="0" borderId="1" xfId="0" applyNumberFormat="1" applyFont="1" applyBorder="1" applyAlignment="1" applyProtection="1">
      <alignment horizontal="center"/>
    </xf>
    <xf numFmtId="179" fontId="4" fillId="0" borderId="116" xfId="0" applyNumberFormat="1" applyFont="1" applyBorder="1" applyAlignment="1" applyProtection="1"/>
    <xf numFmtId="179" fontId="4" fillId="0" borderId="117" xfId="0" applyNumberFormat="1" applyFont="1" applyBorder="1" applyAlignment="1" applyProtection="1"/>
    <xf numFmtId="179" fontId="6" fillId="0" borderId="70" xfId="0" applyNumberFormat="1" applyFont="1" applyBorder="1" applyAlignment="1" applyProtection="1"/>
    <xf numFmtId="179" fontId="12" fillId="0" borderId="71" xfId="0" applyNumberFormat="1" applyFont="1" applyBorder="1" applyAlignment="1" applyProtection="1"/>
    <xf numFmtId="179" fontId="12" fillId="0" borderId="72" xfId="0" applyNumberFormat="1" applyFont="1" applyBorder="1" applyAlignment="1"/>
    <xf numFmtId="179" fontId="4" fillId="0" borderId="74" xfId="0" applyNumberFormat="1" applyFont="1" applyBorder="1" applyAlignment="1" applyProtection="1"/>
    <xf numFmtId="177" fontId="4" fillId="5" borderId="1" xfId="0" applyNumberFormat="1" applyFont="1" applyFill="1" applyBorder="1" applyAlignment="1" applyProtection="1">
      <protection locked="0"/>
    </xf>
    <xf numFmtId="179" fontId="4" fillId="0" borderId="118" xfId="0" applyNumberFormat="1" applyFont="1" applyBorder="1" applyAlignment="1" applyProtection="1"/>
    <xf numFmtId="179" fontId="4" fillId="0" borderId="119" xfId="0" applyNumberFormat="1" applyFont="1" applyBorder="1" applyAlignment="1"/>
    <xf numFmtId="0" fontId="4" fillId="0" borderId="3" xfId="0" applyFont="1" applyBorder="1" applyAlignment="1"/>
    <xf numFmtId="196" fontId="4" fillId="0" borderId="4" xfId="0" applyNumberFormat="1" applyFont="1" applyBorder="1" applyAlignment="1">
      <alignment horizontal="left"/>
    </xf>
    <xf numFmtId="0" fontId="0" fillId="0" borderId="29" xfId="0" applyBorder="1"/>
    <xf numFmtId="179" fontId="0" fillId="4" borderId="1" xfId="0" applyNumberFormat="1" applyFill="1" applyBorder="1" applyProtection="1">
      <protection locked="0"/>
    </xf>
    <xf numFmtId="169" fontId="4" fillId="4" borderId="100" xfId="12" applyNumberFormat="1" applyFont="1" applyFill="1" applyBorder="1" applyProtection="1">
      <protection locked="0"/>
    </xf>
    <xf numFmtId="190" fontId="4" fillId="0" borderId="101" xfId="12" applyNumberFormat="1" applyFont="1" applyBorder="1"/>
    <xf numFmtId="0" fontId="0" fillId="0" borderId="26" xfId="0" quotePrefix="1" applyBorder="1" applyAlignment="1">
      <alignment horizontal="left"/>
    </xf>
    <xf numFmtId="0" fontId="0" fillId="0" borderId="120" xfId="0" quotePrefix="1" applyBorder="1" applyAlignment="1">
      <alignment horizontal="center"/>
    </xf>
    <xf numFmtId="0" fontId="0" fillId="0" borderId="121" xfId="0" quotePrefix="1" applyBorder="1" applyAlignment="1">
      <alignment horizontal="center"/>
    </xf>
    <xf numFmtId="0" fontId="0" fillId="0" borderId="19" xfId="0" applyBorder="1"/>
    <xf numFmtId="169" fontId="4" fillId="4" borderId="122" xfId="12" applyNumberFormat="1" applyFont="1" applyFill="1" applyBorder="1" applyProtection="1">
      <protection locked="0"/>
    </xf>
    <xf numFmtId="190" fontId="4" fillId="0" borderId="123" xfId="12" applyNumberFormat="1" applyFont="1" applyBorder="1"/>
    <xf numFmtId="2" fontId="4" fillId="0" borderId="26" xfId="15" applyNumberFormat="1" applyFont="1" applyBorder="1"/>
    <xf numFmtId="2" fontId="4" fillId="0" borderId="25" xfId="15" applyNumberFormat="1" applyFont="1" applyBorder="1"/>
    <xf numFmtId="2" fontId="4" fillId="0" borderId="6" xfId="15" applyNumberFormat="1" applyFont="1" applyBorder="1" applyAlignment="1">
      <alignment horizontal="center"/>
    </xf>
    <xf numFmtId="179" fontId="4" fillId="0" borderId="33" xfId="0" applyNumberFormat="1" applyFont="1" applyBorder="1" applyAlignment="1"/>
    <xf numFmtId="179" fontId="4" fillId="0" borderId="33" xfId="0" applyNumberFormat="1" applyFont="1" applyBorder="1"/>
    <xf numFmtId="166" fontId="4" fillId="4" borderId="33" xfId="0" applyNumberFormat="1" applyFont="1" applyFill="1" applyBorder="1" applyAlignment="1"/>
    <xf numFmtId="179" fontId="4" fillId="0" borderId="24" xfId="0" applyNumberFormat="1" applyFont="1" applyBorder="1"/>
    <xf numFmtId="165" fontId="4" fillId="0" borderId="24" xfId="0" quotePrefix="1" applyNumberFormat="1" applyFont="1" applyBorder="1" applyAlignment="1" applyProtection="1">
      <alignment horizontal="left"/>
    </xf>
    <xf numFmtId="3" fontId="4" fillId="0" borderId="33" xfId="0" applyNumberFormat="1" applyFont="1" applyBorder="1" applyAlignment="1" applyProtection="1"/>
    <xf numFmtId="3" fontId="4" fillId="0" borderId="1" xfId="0" applyNumberFormat="1" applyFont="1" applyBorder="1" applyAlignment="1" applyProtection="1"/>
    <xf numFmtId="179" fontId="4" fillId="0" borderId="73" xfId="0" applyNumberFormat="1" applyFont="1" applyBorder="1" applyAlignment="1" applyProtection="1">
      <alignment horizontal="right"/>
    </xf>
    <xf numFmtId="0" fontId="6" fillId="0" borderId="33" xfId="0" applyFont="1" applyBorder="1" applyAlignment="1"/>
    <xf numFmtId="179" fontId="4" fillId="0" borderId="116" xfId="0" applyNumberFormat="1" applyFont="1" applyBorder="1" applyAlignment="1" applyProtection="1">
      <alignment horizontal="right"/>
    </xf>
    <xf numFmtId="178" fontId="4" fillId="5" borderId="1" xfId="0" applyNumberFormat="1" applyFont="1" applyFill="1" applyBorder="1" applyAlignment="1" applyProtection="1">
      <protection locked="0"/>
    </xf>
    <xf numFmtId="196" fontId="4" fillId="0" borderId="3" xfId="0" applyNumberFormat="1" applyFont="1" applyBorder="1" applyAlignment="1">
      <alignment horizontal="left"/>
    </xf>
    <xf numFmtId="0" fontId="4" fillId="0" borderId="124" xfId="0" quotePrefix="1" applyFont="1" applyBorder="1" applyAlignment="1">
      <alignment horizontal="left"/>
    </xf>
    <xf numFmtId="168" fontId="4" fillId="4" borderId="35" xfId="12" applyNumberFormat="1" applyFont="1" applyFill="1" applyBorder="1" applyAlignment="1"/>
    <xf numFmtId="2" fontId="4" fillId="0" borderId="19" xfId="12" applyNumberFormat="1" applyFont="1" applyBorder="1"/>
    <xf numFmtId="2" fontId="4" fillId="0" borderId="26" xfId="12" applyNumberFormat="1" applyFont="1" applyBorder="1"/>
    <xf numFmtId="2" fontId="4" fillId="0" borderId="6" xfId="12" applyNumberFormat="1" applyFont="1" applyBorder="1" applyAlignment="1">
      <alignment horizontal="center"/>
    </xf>
    <xf numFmtId="176" fontId="4" fillId="5" borderId="3" xfId="12" applyNumberFormat="1" applyFont="1" applyFill="1" applyBorder="1" applyProtection="1">
      <protection locked="0"/>
    </xf>
    <xf numFmtId="168" fontId="4" fillId="4" borderId="33" xfId="12" applyNumberFormat="1" applyFont="1" applyFill="1" applyBorder="1"/>
    <xf numFmtId="168" fontId="4" fillId="4" borderId="24" xfId="12" applyNumberFormat="1" applyFont="1" applyFill="1" applyBorder="1"/>
    <xf numFmtId="4" fontId="0" fillId="0" borderId="4" xfId="0" applyNumberFormat="1" applyBorder="1"/>
    <xf numFmtId="4" fontId="0" fillId="0" borderId="90" xfId="0" applyNumberFormat="1" applyBorder="1"/>
    <xf numFmtId="3" fontId="0" fillId="0" borderId="2" xfId="0" applyNumberFormat="1" applyBorder="1"/>
    <xf numFmtId="3" fontId="0" fillId="0" borderId="20" xfId="0" applyNumberFormat="1" applyBorder="1"/>
    <xf numFmtId="0" fontId="0" fillId="0" borderId="95" xfId="0" applyBorder="1"/>
    <xf numFmtId="0" fontId="0" fillId="0" borderId="96" xfId="0" applyNumberFormat="1" applyBorder="1"/>
    <xf numFmtId="179" fontId="0" fillId="5" borderId="96" xfId="0" applyNumberFormat="1" applyFill="1" applyBorder="1" applyProtection="1">
      <protection locked="0"/>
    </xf>
    <xf numFmtId="3" fontId="0" fillId="0" borderId="97" xfId="0" applyNumberFormat="1" applyBorder="1"/>
    <xf numFmtId="190" fontId="4" fillId="0" borderId="125" xfId="12" applyNumberFormat="1" applyFont="1" applyBorder="1"/>
    <xf numFmtId="0" fontId="0" fillId="0" borderId="14" xfId="0" applyBorder="1"/>
    <xf numFmtId="3" fontId="0" fillId="0" borderId="84" xfId="0" applyNumberFormat="1" applyBorder="1"/>
    <xf numFmtId="179" fontId="0" fillId="5" borderId="84" xfId="0" applyNumberFormat="1" applyFill="1" applyBorder="1"/>
    <xf numFmtId="3" fontId="0" fillId="0" borderId="15" xfId="0" applyNumberFormat="1" applyBorder="1"/>
    <xf numFmtId="190" fontId="4" fillId="0" borderId="126" xfId="12" applyNumberFormat="1" applyFont="1" applyBorder="1"/>
    <xf numFmtId="0" fontId="0" fillId="0" borderId="95" xfId="0" quotePrefix="1" applyBorder="1" applyAlignment="1">
      <alignment horizontal="left"/>
    </xf>
    <xf numFmtId="0" fontId="4" fillId="0" borderId="96" xfId="0" applyFont="1" applyBorder="1"/>
    <xf numFmtId="3" fontId="0" fillId="0" borderId="6" xfId="0" applyNumberFormat="1" applyBorder="1"/>
    <xf numFmtId="0" fontId="0" fillId="0" borderId="3" xfId="0" applyNumberFormat="1" applyBorder="1"/>
    <xf numFmtId="179" fontId="0" fillId="5" borderId="3" xfId="0" applyNumberFormat="1" applyFill="1" applyBorder="1" applyProtection="1">
      <protection locked="0"/>
    </xf>
    <xf numFmtId="0" fontId="12" fillId="0" borderId="108" xfId="0" applyFont="1" applyBorder="1" applyAlignment="1">
      <alignment horizontal="right"/>
    </xf>
    <xf numFmtId="179" fontId="12" fillId="0" borderId="127" xfId="0" applyNumberFormat="1" applyFont="1" applyBorder="1" applyProtection="1"/>
    <xf numFmtId="0" fontId="12" fillId="0" borderId="128" xfId="0" applyFont="1" applyBorder="1"/>
    <xf numFmtId="0" fontId="12" fillId="0" borderId="82" xfId="0" applyFont="1" applyBorder="1" applyAlignment="1"/>
    <xf numFmtId="0" fontId="12" fillId="0" borderId="83" xfId="0" applyFont="1" applyBorder="1" applyAlignment="1"/>
    <xf numFmtId="0" fontId="12" fillId="0" borderId="2" xfId="0" applyFont="1" applyBorder="1" applyAlignment="1"/>
    <xf numFmtId="192" fontId="12" fillId="0" borderId="122" xfId="12" applyNumberFormat="1" applyFont="1" applyBorder="1" applyAlignment="1"/>
    <xf numFmtId="192" fontId="12" fillId="0" borderId="123" xfId="12" applyNumberFormat="1" applyFont="1" applyBorder="1" applyAlignment="1"/>
    <xf numFmtId="179" fontId="12" fillId="0" borderId="122" xfId="0" applyNumberFormat="1" applyFont="1" applyBorder="1" applyAlignment="1"/>
    <xf numFmtId="179" fontId="12" fillId="0" borderId="123" xfId="0" applyNumberFormat="1" applyFont="1" applyBorder="1" applyAlignment="1"/>
    <xf numFmtId="0" fontId="12" fillId="0" borderId="29" xfId="0" applyFont="1" applyBorder="1" applyAlignment="1"/>
    <xf numFmtId="0" fontId="12" fillId="0" borderId="1" xfId="0" applyFont="1" applyBorder="1" applyAlignment="1"/>
    <xf numFmtId="192" fontId="12" fillId="0" borderId="100" xfId="12" applyNumberFormat="1" applyFont="1" applyBorder="1" applyAlignment="1"/>
    <xf numFmtId="192" fontId="12" fillId="0" borderId="101" xfId="12" applyNumberFormat="1" applyFont="1" applyBorder="1" applyAlignment="1"/>
    <xf numFmtId="179" fontId="12" fillId="0" borderId="100" xfId="0" applyNumberFormat="1" applyFont="1" applyBorder="1" applyAlignment="1"/>
    <xf numFmtId="179" fontId="12" fillId="0" borderId="101" xfId="0" applyNumberFormat="1" applyFont="1" applyBorder="1" applyAlignment="1"/>
    <xf numFmtId="0" fontId="4" fillId="0" borderId="3" xfId="0" applyFont="1" applyBorder="1" applyAlignment="1">
      <alignment horizontal="center"/>
    </xf>
    <xf numFmtId="0" fontId="0" fillId="3" borderId="0" xfId="0" quotePrefix="1" applyFill="1" applyBorder="1" applyAlignment="1" applyProtection="1"/>
    <xf numFmtId="191" fontId="0" fillId="0" borderId="2" xfId="0" applyNumberFormat="1" applyFill="1" applyBorder="1" applyProtection="1">
      <protection locked="0"/>
    </xf>
    <xf numFmtId="197" fontId="4" fillId="5" borderId="33" xfId="12" applyNumberFormat="1" applyFont="1" applyFill="1" applyBorder="1" applyAlignment="1" applyProtection="1">
      <protection locked="0"/>
    </xf>
    <xf numFmtId="197" fontId="4" fillId="5" borderId="24" xfId="12" applyNumberFormat="1" applyFont="1" applyFill="1" applyBorder="1" applyAlignment="1" applyProtection="1">
      <protection locked="0"/>
    </xf>
    <xf numFmtId="197" fontId="4" fillId="4" borderId="33" xfId="12" applyNumberFormat="1" applyFont="1" applyFill="1" applyBorder="1" applyAlignment="1" applyProtection="1"/>
    <xf numFmtId="197" fontId="4" fillId="4" borderId="1" xfId="12" applyNumberFormat="1" applyFont="1" applyFill="1" applyBorder="1" applyAlignment="1" applyProtection="1"/>
    <xf numFmtId="197" fontId="4" fillId="5" borderId="1" xfId="12" applyNumberFormat="1" applyFont="1" applyFill="1" applyBorder="1" applyAlignment="1" applyProtection="1">
      <protection locked="0"/>
    </xf>
    <xf numFmtId="197" fontId="4" fillId="0" borderId="2" xfId="12" applyNumberFormat="1" applyFont="1" applyFill="1" applyBorder="1" applyProtection="1">
      <protection locked="0"/>
    </xf>
    <xf numFmtId="197" fontId="4" fillId="0" borderId="4" xfId="12" applyNumberFormat="1" applyFont="1" applyFill="1" applyBorder="1" applyProtection="1">
      <protection locked="0"/>
    </xf>
    <xf numFmtId="0" fontId="0" fillId="6" borderId="2" xfId="0" quotePrefix="1" applyFill="1" applyBorder="1" applyAlignment="1" applyProtection="1"/>
    <xf numFmtId="0" fontId="0" fillId="6" borderId="92" xfId="0" applyFill="1" applyBorder="1" applyAlignment="1" applyProtection="1">
      <alignment horizontal="left"/>
    </xf>
    <xf numFmtId="0" fontId="6" fillId="6" borderId="29" xfId="0" applyFont="1" applyFill="1" applyBorder="1" applyAlignment="1" applyProtection="1">
      <alignment horizontal="left"/>
    </xf>
    <xf numFmtId="0" fontId="0" fillId="6" borderId="2" xfId="0" applyFill="1" applyBorder="1" applyAlignment="1" applyProtection="1">
      <alignment horizontal="right"/>
    </xf>
    <xf numFmtId="0" fontId="0" fillId="6" borderId="20" xfId="0" quotePrefix="1" applyFill="1" applyBorder="1" applyAlignment="1" applyProtection="1">
      <alignment horizontal="right"/>
    </xf>
    <xf numFmtId="0" fontId="0" fillId="6" borderId="3" xfId="0" applyFill="1" applyBorder="1" applyAlignment="1" applyProtection="1">
      <alignment horizontal="right"/>
    </xf>
    <xf numFmtId="0" fontId="0" fillId="6" borderId="25" xfId="0" applyFill="1" applyBorder="1" applyAlignment="1" applyProtection="1">
      <alignment horizontal="right"/>
    </xf>
    <xf numFmtId="0" fontId="0" fillId="6" borderId="3" xfId="0" quotePrefix="1" applyFill="1" applyBorder="1" applyProtection="1"/>
    <xf numFmtId="0" fontId="0" fillId="6" borderId="89" xfId="0" quotePrefix="1" applyFill="1" applyBorder="1" applyProtection="1"/>
    <xf numFmtId="0" fontId="0" fillId="6" borderId="96" xfId="0" quotePrefix="1" applyFill="1" applyBorder="1" applyProtection="1"/>
    <xf numFmtId="0" fontId="0" fillId="6" borderId="96" xfId="0" applyFill="1" applyBorder="1" applyAlignment="1" applyProtection="1">
      <alignment horizontal="right"/>
    </xf>
    <xf numFmtId="0" fontId="0" fillId="6" borderId="97" xfId="0" applyFill="1" applyBorder="1" applyAlignment="1" applyProtection="1">
      <alignment horizontal="right"/>
    </xf>
    <xf numFmtId="0" fontId="6" fillId="0" borderId="24" xfId="0" applyFont="1" applyBorder="1" applyAlignment="1">
      <alignment horizontal="left"/>
    </xf>
    <xf numFmtId="179" fontId="0" fillId="5" borderId="2" xfId="0" applyNumberFormat="1" applyFill="1" applyBorder="1"/>
    <xf numFmtId="179" fontId="0" fillId="5" borderId="3" xfId="0" applyNumberFormat="1" applyFill="1" applyBorder="1"/>
    <xf numFmtId="0" fontId="0" fillId="6" borderId="129" xfId="0" applyFill="1" applyBorder="1" applyAlignment="1" applyProtection="1">
      <alignment horizontal="centerContinuous"/>
    </xf>
    <xf numFmtId="0" fontId="0" fillId="6" borderId="130" xfId="0" applyFill="1" applyBorder="1" applyAlignment="1" applyProtection="1">
      <alignment horizontal="centerContinuous"/>
    </xf>
    <xf numFmtId="0" fontId="0" fillId="6" borderId="131" xfId="0" applyFill="1" applyBorder="1" applyAlignment="1" applyProtection="1">
      <alignment horizontal="centerContinuous"/>
    </xf>
    <xf numFmtId="0" fontId="0" fillId="6" borderId="132" xfId="0" applyFill="1" applyBorder="1" applyAlignment="1" applyProtection="1">
      <alignment horizontal="centerContinuous"/>
    </xf>
    <xf numFmtId="0" fontId="0" fillId="6" borderId="133" xfId="0" applyFill="1" applyBorder="1" applyAlignment="1" applyProtection="1">
      <alignment horizontal="centerContinuous"/>
    </xf>
    <xf numFmtId="0" fontId="0" fillId="6" borderId="134" xfId="0" applyFill="1" applyBorder="1" applyAlignment="1" applyProtection="1">
      <alignment horizontal="centerContinuous"/>
    </xf>
    <xf numFmtId="0" fontId="0" fillId="6" borderId="29" xfId="0" applyFill="1" applyBorder="1" applyAlignment="1" applyProtection="1">
      <alignment vertical="top"/>
    </xf>
    <xf numFmtId="0" fontId="0" fillId="6" borderId="1" xfId="0" applyFill="1" applyBorder="1" applyAlignment="1" applyProtection="1">
      <alignment vertical="top"/>
    </xf>
    <xf numFmtId="0" fontId="0" fillId="6" borderId="135" xfId="0" applyFill="1" applyBorder="1" applyAlignment="1" applyProtection="1">
      <alignment horizontal="centerContinuous" vertical="top"/>
      <protection locked="0"/>
    </xf>
    <xf numFmtId="0" fontId="0" fillId="6" borderId="136" xfId="0" applyFill="1" applyBorder="1" applyAlignment="1" applyProtection="1">
      <alignment horizontal="centerContinuous" vertical="top"/>
      <protection locked="0"/>
    </xf>
    <xf numFmtId="0" fontId="0" fillId="6" borderId="6" xfId="0" applyFill="1" applyBorder="1" applyAlignment="1" applyProtection="1">
      <alignment horizontal="centerContinuous"/>
    </xf>
    <xf numFmtId="179" fontId="0" fillId="5" borderId="96" xfId="0" applyNumberFormat="1" applyFill="1" applyBorder="1"/>
    <xf numFmtId="179" fontId="0" fillId="5" borderId="4" xfId="0" applyNumberFormat="1" applyFill="1" applyBorder="1"/>
    <xf numFmtId="0" fontId="15" fillId="0" borderId="137" xfId="0" applyFont="1" applyBorder="1" applyProtection="1">
      <protection locked="0"/>
    </xf>
    <xf numFmtId="0" fontId="11" fillId="0" borderId="1" xfId="0" applyFont="1" applyBorder="1" applyProtection="1"/>
    <xf numFmtId="0" fontId="11" fillId="0" borderId="1" xfId="0" applyFont="1" applyBorder="1" applyProtection="1">
      <protection locked="0"/>
    </xf>
    <xf numFmtId="170" fontId="11" fillId="0" borderId="1" xfId="0" applyNumberFormat="1" applyFont="1" applyBorder="1" applyProtection="1"/>
    <xf numFmtId="0" fontId="11" fillId="0" borderId="135" xfId="0" applyFont="1" applyBorder="1" applyProtection="1">
      <protection locked="0"/>
    </xf>
    <xf numFmtId="0" fontId="11" fillId="0" borderId="138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8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Fill="1" applyBorder="1" applyAlignment="1" applyProtection="1">
      <alignment horizontal="left"/>
    </xf>
    <xf numFmtId="0" fontId="0" fillId="4" borderId="4" xfId="0" applyFill="1" applyBorder="1" applyAlignment="1" applyProtection="1">
      <protection locked="0"/>
    </xf>
    <xf numFmtId="0" fontId="0" fillId="0" borderId="4" xfId="0" applyFill="1" applyBorder="1" applyProtection="1">
      <protection locked="0"/>
    </xf>
    <xf numFmtId="0" fontId="0" fillId="0" borderId="1" xfId="0" applyFill="1" applyBorder="1" applyAlignment="1" applyProtection="1">
      <alignment horizontal="left"/>
    </xf>
    <xf numFmtId="0" fontId="0" fillId="4" borderId="3" xfId="0" applyFill="1" applyBorder="1" applyAlignment="1" applyProtection="1">
      <protection locked="0"/>
    </xf>
    <xf numFmtId="0" fontId="0" fillId="0" borderId="3" xfId="0" applyFill="1" applyBorder="1" applyProtection="1">
      <protection locked="0"/>
    </xf>
    <xf numFmtId="0" fontId="15" fillId="0" borderId="139" xfId="0" applyFont="1" applyBorder="1" applyProtection="1">
      <protection locked="0"/>
    </xf>
    <xf numFmtId="0" fontId="15" fillId="0" borderId="8" xfId="0" applyFont="1" applyBorder="1" applyProtection="1"/>
    <xf numFmtId="0" fontId="0" fillId="0" borderId="8" xfId="0" applyBorder="1" applyProtection="1">
      <protection locked="0"/>
    </xf>
    <xf numFmtId="0" fontId="0" fillId="0" borderId="140" xfId="0" applyBorder="1" applyProtection="1">
      <protection locked="0"/>
    </xf>
    <xf numFmtId="0" fontId="6" fillId="5" borderId="82" xfId="0" applyFont="1" applyFill="1" applyBorder="1" applyAlignment="1" applyProtection="1">
      <protection locked="0"/>
    </xf>
    <xf numFmtId="0" fontId="0" fillId="5" borderId="131" xfId="0" applyFill="1" applyBorder="1" applyAlignment="1">
      <alignment vertical="top"/>
    </xf>
    <xf numFmtId="0" fontId="22" fillId="0" borderId="14" xfId="0" applyFont="1" applyBorder="1" applyProtection="1">
      <protection locked="0"/>
    </xf>
    <xf numFmtId="0" fontId="22" fillId="4" borderId="15" xfId="8" applyFont="1" applyBorder="1" applyAlignment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179" fontId="4" fillId="4" borderId="1" xfId="0" applyNumberFormat="1" applyFont="1" applyFill="1" applyBorder="1" applyProtection="1">
      <protection locked="0"/>
    </xf>
    <xf numFmtId="179" fontId="20" fillId="0" borderId="8" xfId="14" applyNumberFormat="1" applyFont="1" applyBorder="1"/>
    <xf numFmtId="179" fontId="4" fillId="0" borderId="141" xfId="0" applyNumberFormat="1" applyFont="1" applyBorder="1" applyAlignment="1" applyProtection="1"/>
    <xf numFmtId="179" fontId="4" fillId="0" borderId="142" xfId="0" applyNumberFormat="1" applyFont="1" applyBorder="1" applyAlignment="1" applyProtection="1"/>
    <xf numFmtId="179" fontId="4" fillId="0" borderId="143" xfId="0" applyNumberFormat="1" applyFont="1" applyBorder="1" applyAlignment="1"/>
    <xf numFmtId="179" fontId="4" fillId="0" borderId="144" xfId="0" applyNumberFormat="1" applyFont="1" applyBorder="1" applyAlignment="1" applyProtection="1"/>
    <xf numFmtId="0" fontId="4" fillId="0" borderId="145" xfId="0" applyFont="1" applyBorder="1"/>
    <xf numFmtId="179" fontId="4" fillId="0" borderId="146" xfId="0" applyNumberFormat="1" applyFont="1" applyBorder="1" applyAlignment="1" applyProtection="1">
      <alignment horizontal="center"/>
    </xf>
    <xf numFmtId="179" fontId="4" fillId="0" borderId="147" xfId="0" applyNumberFormat="1" applyFont="1" applyBorder="1" applyAlignment="1" applyProtection="1"/>
    <xf numFmtId="179" fontId="4" fillId="0" borderId="148" xfId="0" applyNumberFormat="1" applyFont="1" applyBorder="1" applyAlignment="1" applyProtection="1"/>
    <xf numFmtId="0" fontId="0" fillId="6" borderId="4" xfId="0" applyFill="1" applyBorder="1" applyAlignment="1" applyProtection="1">
      <alignment horizontal="right"/>
    </xf>
    <xf numFmtId="0" fontId="0" fillId="6" borderId="90" xfId="0" quotePrefix="1" applyFill="1" applyBorder="1" applyAlignment="1" applyProtection="1">
      <alignment horizontal="right"/>
    </xf>
    <xf numFmtId="180" fontId="0" fillId="0" borderId="23" xfId="0" applyNumberFormat="1" applyFill="1" applyBorder="1" applyProtection="1"/>
    <xf numFmtId="180" fontId="0" fillId="0" borderId="99" xfId="0" applyNumberFormat="1" applyFill="1" applyBorder="1" applyProtection="1"/>
    <xf numFmtId="0" fontId="11" fillId="6" borderId="82" xfId="0" applyFont="1" applyFill="1" applyBorder="1" applyAlignment="1" applyProtection="1">
      <alignment horizontal="left"/>
    </xf>
    <xf numFmtId="0" fontId="11" fillId="6" borderId="83" xfId="0" applyFont="1" applyFill="1" applyBorder="1" applyProtection="1"/>
    <xf numFmtId="0" fontId="11" fillId="6" borderId="83" xfId="0" quotePrefix="1" applyFont="1" applyFill="1" applyBorder="1" applyProtection="1"/>
    <xf numFmtId="0" fontId="11" fillId="6" borderId="83" xfId="0" applyFont="1" applyFill="1" applyBorder="1" applyAlignment="1" applyProtection="1">
      <alignment horizontal="right"/>
    </xf>
    <xf numFmtId="0" fontId="11" fillId="6" borderId="131" xfId="0" applyFont="1" applyFill="1" applyBorder="1" applyAlignment="1" applyProtection="1">
      <alignment horizontal="right"/>
    </xf>
    <xf numFmtId="0" fontId="11" fillId="6" borderId="88" xfId="0" applyFont="1" applyFill="1" applyBorder="1" applyAlignment="1" applyProtection="1">
      <alignment horizontal="left"/>
    </xf>
    <xf numFmtId="0" fontId="11" fillId="6" borderId="4" xfId="0" applyFont="1" applyFill="1" applyBorder="1" applyProtection="1"/>
    <xf numFmtId="0" fontId="11" fillId="6" borderId="4" xfId="0" quotePrefix="1" applyFont="1" applyFill="1" applyBorder="1" applyProtection="1"/>
    <xf numFmtId="0" fontId="11" fillId="0" borderId="0" xfId="0" applyFont="1" applyFill="1" applyBorder="1" applyProtection="1"/>
    <xf numFmtId="0" fontId="11" fillId="3" borderId="0" xfId="0" applyFont="1" applyFill="1" applyBorder="1" applyProtection="1"/>
    <xf numFmtId="179" fontId="11" fillId="0" borderId="87" xfId="0" applyNumberFormat="1" applyFont="1" applyBorder="1" applyProtection="1"/>
    <xf numFmtId="0" fontId="11" fillId="3" borderId="0" xfId="0" applyFont="1" applyFill="1" applyProtection="1"/>
    <xf numFmtId="0" fontId="11" fillId="0" borderId="0" xfId="0" applyFont="1" applyProtection="1"/>
    <xf numFmtId="179" fontId="11" fillId="0" borderId="19" xfId="0" applyNumberFormat="1" applyFont="1" applyBorder="1" applyProtection="1"/>
    <xf numFmtId="185" fontId="11" fillId="0" borderId="20" xfId="0" applyNumberFormat="1" applyFont="1" applyBorder="1" applyProtection="1"/>
    <xf numFmtId="0" fontId="11" fillId="3" borderId="0" xfId="0" quotePrefix="1" applyFont="1" applyFill="1" applyBorder="1" applyAlignment="1" applyProtection="1"/>
    <xf numFmtId="0" fontId="11" fillId="6" borderId="95" xfId="0" applyFont="1" applyFill="1" applyBorder="1" applyAlignment="1" applyProtection="1">
      <alignment horizontal="left"/>
    </xf>
    <xf numFmtId="0" fontId="11" fillId="6" borderId="96" xfId="0" applyFont="1" applyFill="1" applyBorder="1" applyProtection="1"/>
    <xf numFmtId="0" fontId="11" fillId="6" borderId="96" xfId="0" quotePrefix="1" applyFont="1" applyFill="1" applyBorder="1" applyProtection="1"/>
    <xf numFmtId="179" fontId="11" fillId="0" borderId="94" xfId="0" applyNumberFormat="1" applyFont="1" applyBorder="1" applyProtection="1"/>
    <xf numFmtId="179" fontId="11" fillId="0" borderId="26" xfId="0" applyNumberFormat="1" applyFont="1" applyBorder="1" applyProtection="1"/>
    <xf numFmtId="185" fontId="11" fillId="0" borderId="25" xfId="0" applyNumberFormat="1" applyFont="1" applyBorder="1" applyProtection="1"/>
    <xf numFmtId="0" fontId="11" fillId="6" borderId="29" xfId="0" applyFont="1" applyFill="1" applyBorder="1" applyAlignment="1" applyProtection="1">
      <alignment horizontal="left"/>
    </xf>
    <xf numFmtId="0" fontId="11" fillId="6" borderId="1" xfId="0" applyFont="1" applyFill="1" applyBorder="1" applyProtection="1"/>
    <xf numFmtId="0" fontId="11" fillId="6" borderId="1" xfId="0" quotePrefix="1" applyFont="1" applyFill="1" applyBorder="1" applyProtection="1"/>
    <xf numFmtId="0" fontId="11" fillId="6" borderId="1" xfId="0" applyFont="1" applyFill="1" applyBorder="1" applyAlignment="1" applyProtection="1">
      <alignment horizontal="right"/>
    </xf>
    <xf numFmtId="0" fontId="11" fillId="6" borderId="6" xfId="0" applyFont="1" applyFill="1" applyBorder="1" applyAlignment="1" applyProtection="1">
      <alignment horizontal="right"/>
    </xf>
    <xf numFmtId="198" fontId="11" fillId="0" borderId="87" xfId="12" applyNumberFormat="1" applyFont="1" applyBorder="1" applyProtection="1"/>
    <xf numFmtId="198" fontId="11" fillId="0" borderId="94" xfId="12" applyNumberFormat="1" applyFont="1" applyBorder="1" applyProtection="1"/>
    <xf numFmtId="0" fontId="4" fillId="0" borderId="30" xfId="0" applyFont="1" applyBorder="1" applyAlignment="1">
      <alignment horizontal="center"/>
    </xf>
    <xf numFmtId="0" fontId="4" fillId="0" borderId="0" xfId="0" applyFont="1" applyBorder="1" applyAlignment="1"/>
    <xf numFmtId="0" fontId="4" fillId="4" borderId="33" xfId="0" applyFont="1" applyFill="1" applyBorder="1" applyAlignment="1" applyProtection="1">
      <protection locked="0"/>
    </xf>
    <xf numFmtId="168" fontId="4" fillId="4" borderId="33" xfId="0" applyNumberFormat="1" applyFont="1" applyFill="1" applyBorder="1" applyAlignment="1"/>
    <xf numFmtId="168" fontId="4" fillId="4" borderId="33" xfId="12" applyNumberFormat="1" applyFont="1" applyFill="1" applyBorder="1" applyAlignment="1"/>
    <xf numFmtId="0" fontId="6" fillId="0" borderId="83" xfId="0" applyFont="1" applyBorder="1"/>
    <xf numFmtId="0" fontId="6" fillId="0" borderId="83" xfId="0" applyFont="1" applyBorder="1" applyAlignment="1"/>
    <xf numFmtId="0" fontId="4" fillId="4" borderId="4" xfId="0" applyFont="1" applyFill="1" applyBorder="1" applyAlignment="1" applyProtection="1">
      <protection locked="0"/>
    </xf>
    <xf numFmtId="49" fontId="4" fillId="0" borderId="4" xfId="0" applyNumberFormat="1" applyFont="1" applyBorder="1" applyAlignment="1" applyProtection="1">
      <protection locked="0"/>
    </xf>
    <xf numFmtId="0" fontId="4" fillId="0" borderId="4" xfId="0" quotePrefix="1" applyFont="1" applyBorder="1" applyAlignment="1"/>
    <xf numFmtId="0" fontId="4" fillId="0" borderId="4" xfId="0" applyFont="1" applyBorder="1" applyAlignment="1"/>
    <xf numFmtId="179" fontId="4" fillId="0" borderId="83" xfId="0" quotePrefix="1" applyNumberFormat="1" applyFont="1" applyBorder="1" applyAlignment="1"/>
    <xf numFmtId="0" fontId="4" fillId="0" borderId="83" xfId="0" applyFont="1" applyBorder="1" applyAlignment="1"/>
    <xf numFmtId="0" fontId="4" fillId="4" borderId="83" xfId="0" applyFont="1" applyFill="1" applyBorder="1" applyAlignment="1" applyProtection="1">
      <protection locked="0"/>
    </xf>
    <xf numFmtId="0" fontId="4" fillId="0" borderId="83" xfId="0" quotePrefix="1" applyFont="1" applyBorder="1" applyAlignment="1"/>
    <xf numFmtId="179" fontId="4" fillId="0" borderId="0" xfId="10" applyNumberFormat="1" applyFont="1" applyBorder="1" applyAlignment="1"/>
    <xf numFmtId="168" fontId="4" fillId="4" borderId="0" xfId="12" applyNumberFormat="1" applyFont="1" applyFill="1" applyBorder="1"/>
    <xf numFmtId="3" fontId="4" fillId="0" borderId="0" xfId="0" applyNumberFormat="1" applyFont="1" applyFill="1" applyBorder="1" applyProtection="1"/>
    <xf numFmtId="197" fontId="4" fillId="0" borderId="0" xfId="12" applyNumberFormat="1" applyFont="1" applyFill="1" applyBorder="1" applyAlignment="1" applyProtection="1"/>
    <xf numFmtId="0" fontId="4" fillId="0" borderId="0" xfId="0" applyFont="1" applyFill="1" applyBorder="1" applyAlignment="1">
      <alignment horizontal="left"/>
    </xf>
    <xf numFmtId="0" fontId="12" fillId="0" borderId="108" xfId="0" applyFont="1" applyBorder="1"/>
    <xf numFmtId="0" fontId="6" fillId="0" borderId="83" xfId="0" applyFont="1" applyBorder="1" applyAlignment="1">
      <alignment horizontal="left"/>
    </xf>
    <xf numFmtId="0" fontId="6" fillId="0" borderId="83" xfId="0" quotePrefix="1" applyFont="1" applyBorder="1" applyAlignment="1">
      <alignment horizontal="left"/>
    </xf>
    <xf numFmtId="0" fontId="4" fillId="0" borderId="149" xfId="0" quotePrefix="1" applyFont="1" applyBorder="1" applyAlignment="1">
      <alignment horizontal="left"/>
    </xf>
    <xf numFmtId="0" fontId="4" fillId="0" borderId="150" xfId="0" applyFont="1" applyBorder="1"/>
    <xf numFmtId="179" fontId="3" fillId="5" borderId="150" xfId="16" applyNumberFormat="1" applyFill="1" applyBorder="1" applyProtection="1"/>
    <xf numFmtId="0" fontId="4" fillId="0" borderId="151" xfId="0" applyFont="1" applyBorder="1"/>
    <xf numFmtId="0" fontId="4" fillId="0" borderId="20" xfId="0" applyFont="1" applyBorder="1"/>
    <xf numFmtId="0" fontId="4" fillId="0" borderId="2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99" fontId="4" fillId="0" borderId="70" xfId="0" applyNumberFormat="1" applyFont="1" applyBorder="1" applyAlignment="1">
      <alignment horizontal="center"/>
    </xf>
    <xf numFmtId="199" fontId="4" fillId="0" borderId="81" xfId="0" applyNumberFormat="1" applyFont="1" applyBorder="1" applyProtection="1"/>
    <xf numFmtId="199" fontId="4" fillId="0" borderId="152" xfId="0" applyNumberFormat="1" applyFont="1" applyBorder="1" applyProtection="1"/>
    <xf numFmtId="199" fontId="6" fillId="0" borderId="153" xfId="0" applyNumberFormat="1" applyFont="1" applyBorder="1" applyProtection="1"/>
    <xf numFmtId="199" fontId="6" fillId="0" borderId="154" xfId="0" applyNumberFormat="1" applyFont="1" applyBorder="1" applyProtection="1"/>
    <xf numFmtId="199" fontId="6" fillId="0" borderId="155" xfId="0" applyNumberFormat="1" applyFont="1" applyBorder="1" applyProtection="1"/>
    <xf numFmtId="199" fontId="6" fillId="0" borderId="156" xfId="0" applyNumberFormat="1" applyFont="1" applyBorder="1" applyProtection="1"/>
    <xf numFmtId="199" fontId="4" fillId="0" borderId="144" xfId="0" applyNumberFormat="1" applyFont="1" applyBorder="1" applyProtection="1"/>
    <xf numFmtId="199" fontId="4" fillId="0" borderId="157" xfId="0" applyNumberFormat="1" applyFont="1" applyBorder="1" applyAlignment="1" applyProtection="1">
      <alignment horizontal="right"/>
    </xf>
    <xf numFmtId="199" fontId="4" fillId="0" borderId="81" xfId="0" applyNumberFormat="1" applyFont="1" applyBorder="1"/>
    <xf numFmtId="199" fontId="4" fillId="0" borderId="152" xfId="0" applyNumberFormat="1" applyFont="1" applyBorder="1"/>
    <xf numFmtId="199" fontId="4" fillId="0" borderId="152" xfId="0" applyNumberFormat="1" applyFont="1" applyBorder="1" applyAlignment="1" applyProtection="1">
      <alignment horizontal="right"/>
    </xf>
    <xf numFmtId="199" fontId="4" fillId="0" borderId="117" xfId="0" applyNumberFormat="1" applyFont="1" applyBorder="1" applyProtection="1"/>
    <xf numFmtId="199" fontId="4" fillId="0" borderId="124" xfId="0" applyNumberFormat="1" applyFont="1" applyBorder="1" applyAlignment="1" applyProtection="1">
      <alignment horizontal="right"/>
    </xf>
    <xf numFmtId="199" fontId="4" fillId="0" borderId="155" xfId="0" applyNumberFormat="1" applyFont="1" applyBorder="1" applyProtection="1"/>
    <xf numFmtId="199" fontId="4" fillId="0" borderId="156" xfId="0" applyNumberFormat="1" applyFont="1" applyBorder="1" applyAlignment="1" applyProtection="1">
      <alignment horizontal="right"/>
    </xf>
    <xf numFmtId="199" fontId="6" fillId="0" borderId="158" xfId="0" applyNumberFormat="1" applyFont="1" applyBorder="1" applyProtection="1"/>
    <xf numFmtId="199" fontId="6" fillId="0" borderId="159" xfId="0" applyNumberFormat="1" applyFont="1" applyBorder="1" applyProtection="1"/>
    <xf numFmtId="199" fontId="20" fillId="0" borderId="160" xfId="0" applyNumberFormat="1" applyFont="1" applyBorder="1" applyProtection="1"/>
    <xf numFmtId="199" fontId="20" fillId="0" borderId="161" xfId="0" applyNumberFormat="1" applyFont="1" applyBorder="1" applyProtection="1"/>
    <xf numFmtId="199" fontId="4" fillId="0" borderId="162" xfId="0" applyNumberFormat="1" applyFont="1" applyBorder="1" applyProtection="1"/>
    <xf numFmtId="199" fontId="4" fillId="0" borderId="163" xfId="0" applyNumberFormat="1" applyFont="1" applyBorder="1" applyProtection="1"/>
    <xf numFmtId="199" fontId="4" fillId="0" borderId="124" xfId="0" applyNumberFormat="1" applyFont="1" applyBorder="1" applyProtection="1"/>
    <xf numFmtId="199" fontId="4" fillId="0" borderId="162" xfId="0" applyNumberFormat="1" applyFont="1" applyFill="1" applyBorder="1" applyProtection="1"/>
    <xf numFmtId="199" fontId="4" fillId="0" borderId="163" xfId="0" applyNumberFormat="1" applyFont="1" applyFill="1" applyBorder="1" applyProtection="1"/>
    <xf numFmtId="199" fontId="4" fillId="0" borderId="153" xfId="0" applyNumberFormat="1" applyFont="1" applyBorder="1" applyProtection="1"/>
    <xf numFmtId="199" fontId="4" fillId="0" borderId="154" xfId="0" applyNumberFormat="1" applyFont="1" applyBorder="1" applyAlignment="1">
      <alignment horizontal="right"/>
    </xf>
    <xf numFmtId="199" fontId="4" fillId="0" borderId="163" xfId="0" applyNumberFormat="1" applyFont="1" applyBorder="1" applyAlignment="1">
      <alignment horizontal="right"/>
    </xf>
    <xf numFmtId="199" fontId="4" fillId="0" borderId="152" xfId="0" applyNumberFormat="1" applyFont="1" applyBorder="1" applyAlignment="1">
      <alignment horizontal="right"/>
    </xf>
    <xf numFmtId="199" fontId="4" fillId="0" borderId="81" xfId="0" applyNumberFormat="1" applyFont="1" applyFill="1" applyBorder="1" applyProtection="1"/>
    <xf numFmtId="199" fontId="4" fillId="0" borderId="153" xfId="0" applyNumberFormat="1" applyFont="1" applyFill="1" applyBorder="1" applyProtection="1"/>
    <xf numFmtId="199" fontId="4" fillId="0" borderId="154" xfId="0" applyNumberFormat="1" applyFont="1" applyBorder="1" applyProtection="1"/>
    <xf numFmtId="0" fontId="4" fillId="0" borderId="24" xfId="0" applyFont="1" applyBorder="1" applyAlignment="1">
      <alignment horizontal="left"/>
    </xf>
    <xf numFmtId="179" fontId="4" fillId="5" borderId="0" xfId="0" applyNumberFormat="1" applyFont="1" applyFill="1" applyBorder="1"/>
    <xf numFmtId="3" fontId="4" fillId="0" borderId="0" xfId="0" applyNumberFormat="1" applyFont="1" applyBorder="1" applyProtection="1"/>
    <xf numFmtId="176" fontId="4" fillId="5" borderId="0" xfId="12" applyNumberFormat="1" applyFont="1" applyFill="1" applyBorder="1" applyProtection="1">
      <protection locked="0"/>
    </xf>
    <xf numFmtId="179" fontId="4" fillId="0" borderId="39" xfId="0" applyNumberFormat="1" applyFont="1" applyBorder="1" applyAlignment="1" applyProtection="1">
      <alignment horizontal="right"/>
    </xf>
    <xf numFmtId="179" fontId="4" fillId="0" borderId="40" xfId="0" applyNumberFormat="1" applyFont="1" applyBorder="1" applyAlignment="1" applyProtection="1">
      <alignment horizontal="right"/>
    </xf>
    <xf numFmtId="178" fontId="4" fillId="5" borderId="0" xfId="0" applyNumberFormat="1" applyFont="1" applyFill="1" applyBorder="1" applyAlignment="1" applyProtection="1">
      <protection locked="0"/>
    </xf>
    <xf numFmtId="179" fontId="4" fillId="5" borderId="0" xfId="0" applyNumberFormat="1" applyFont="1" applyFill="1" applyBorder="1" applyAlignment="1">
      <alignment horizontal="right"/>
    </xf>
    <xf numFmtId="177" fontId="4" fillId="5" borderId="0" xfId="0" applyNumberFormat="1" applyFont="1" applyFill="1" applyBorder="1" applyAlignment="1" applyProtection="1">
      <protection locked="0"/>
    </xf>
    <xf numFmtId="179" fontId="4" fillId="0" borderId="49" xfId="0" applyNumberFormat="1" applyFont="1" applyBorder="1" applyAlignment="1" applyProtection="1">
      <alignment horizontal="right"/>
    </xf>
    <xf numFmtId="179" fontId="4" fillId="0" borderId="39" xfId="0" applyNumberFormat="1" applyFont="1" applyBorder="1" applyAlignment="1">
      <alignment horizontal="right"/>
    </xf>
    <xf numFmtId="179" fontId="4" fillId="0" borderId="40" xfId="0" applyNumberFormat="1" applyFont="1" applyBorder="1" applyAlignment="1">
      <alignment horizontal="right"/>
    </xf>
    <xf numFmtId="0" fontId="6" fillId="0" borderId="164" xfId="0" applyFont="1" applyBorder="1" applyAlignment="1">
      <alignment horizontal="centerContinuous"/>
    </xf>
    <xf numFmtId="3" fontId="4" fillId="0" borderId="4" xfId="0" applyNumberFormat="1" applyFont="1" applyBorder="1" applyProtection="1"/>
    <xf numFmtId="176" fontId="4" fillId="5" borderId="4" xfId="12" applyNumberFormat="1" applyFont="1" applyFill="1" applyBorder="1" applyProtection="1">
      <protection locked="0"/>
    </xf>
    <xf numFmtId="0" fontId="4" fillId="0" borderId="83" xfId="0" applyFont="1" applyBorder="1"/>
    <xf numFmtId="179" fontId="4" fillId="0" borderId="120" xfId="0" applyNumberFormat="1" applyFont="1" applyBorder="1" applyProtection="1"/>
    <xf numFmtId="179" fontId="4" fillId="0" borderId="121" xfId="0" applyNumberFormat="1" applyFont="1" applyBorder="1" applyProtection="1"/>
    <xf numFmtId="179" fontId="4" fillId="0" borderId="165" xfId="0" applyNumberFormat="1" applyFont="1" applyBorder="1" applyProtection="1"/>
    <xf numFmtId="193" fontId="4" fillId="5" borderId="83" xfId="0" applyNumberFormat="1" applyFont="1" applyFill="1" applyBorder="1" applyAlignment="1" applyProtection="1">
      <protection locked="0"/>
    </xf>
    <xf numFmtId="3" fontId="4" fillId="0" borderId="83" xfId="0" applyNumberFormat="1" applyFont="1" applyBorder="1" applyProtection="1"/>
    <xf numFmtId="197" fontId="4" fillId="5" borderId="83" xfId="12" applyNumberFormat="1" applyFont="1" applyFill="1" applyBorder="1" applyAlignment="1" applyProtection="1">
      <protection locked="0"/>
    </xf>
    <xf numFmtId="0" fontId="6" fillId="0" borderId="0" xfId="0" applyFont="1" applyBorder="1"/>
    <xf numFmtId="196" fontId="4" fillId="0" borderId="1" xfId="0" applyNumberFormat="1" applyFont="1" applyBorder="1" applyAlignment="1">
      <alignment horizontal="left"/>
    </xf>
    <xf numFmtId="0" fontId="6" fillId="0" borderId="32" xfId="0" applyFont="1" applyBorder="1" applyAlignment="1"/>
    <xf numFmtId="0" fontId="12" fillId="0" borderId="0" xfId="0" applyFont="1"/>
    <xf numFmtId="199" fontId="4" fillId="0" borderId="81" xfId="0" applyNumberFormat="1" applyFont="1" applyBorder="1" applyAlignment="1">
      <alignment horizontal="center"/>
    </xf>
    <xf numFmtId="179" fontId="4" fillId="0" borderId="79" xfId="0" applyNumberFormat="1" applyFont="1" applyBorder="1" applyAlignment="1" applyProtection="1">
      <alignment horizontal="center"/>
    </xf>
    <xf numFmtId="179" fontId="4" fillId="0" borderId="166" xfId="0" applyNumberFormat="1" applyFont="1" applyBorder="1" applyAlignment="1" applyProtection="1"/>
    <xf numFmtId="179" fontId="4" fillId="0" borderId="80" xfId="0" applyNumberFormat="1" applyFont="1" applyBorder="1" applyAlignment="1" applyProtection="1"/>
    <xf numFmtId="0" fontId="4" fillId="0" borderId="150" xfId="0" applyFont="1" applyBorder="1" applyAlignment="1"/>
    <xf numFmtId="179" fontId="6" fillId="0" borderId="79" xfId="0" applyNumberFormat="1" applyFont="1" applyBorder="1" applyAlignment="1" applyProtection="1"/>
    <xf numFmtId="179" fontId="6" fillId="0" borderId="166" xfId="0" applyNumberFormat="1" applyFont="1" applyBorder="1" applyAlignment="1" applyProtection="1"/>
    <xf numFmtId="179" fontId="12" fillId="0" borderId="79" xfId="0" applyNumberFormat="1" applyFont="1" applyBorder="1" applyAlignment="1"/>
    <xf numFmtId="179" fontId="12" fillId="0" borderId="80" xfId="0" applyNumberFormat="1" applyFont="1" applyBorder="1" applyAlignment="1" applyProtection="1"/>
    <xf numFmtId="179" fontId="4" fillId="0" borderId="79" xfId="0" applyNumberFormat="1" applyFont="1" applyBorder="1" applyAlignment="1" applyProtection="1">
      <alignment horizontal="right"/>
    </xf>
    <xf numFmtId="179" fontId="4" fillId="0" borderId="80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179" fontId="4" fillId="0" borderId="167" xfId="0" applyNumberFormat="1" applyFont="1" applyBorder="1" applyAlignment="1" applyProtection="1"/>
    <xf numFmtId="179" fontId="4" fillId="0" borderId="168" xfId="0" applyNumberFormat="1" applyFont="1" applyBorder="1" applyAlignment="1"/>
    <xf numFmtId="179" fontId="4" fillId="0" borderId="167" xfId="0" applyNumberFormat="1" applyFont="1" applyBorder="1" applyAlignment="1"/>
    <xf numFmtId="3" fontId="4" fillId="0" borderId="83" xfId="0" applyNumberFormat="1" applyFont="1" applyBorder="1" applyAlignment="1" applyProtection="1">
      <alignment horizontal="center"/>
    </xf>
    <xf numFmtId="3" fontId="4" fillId="0" borderId="83" xfId="0" applyNumberFormat="1" applyFont="1" applyBorder="1" applyAlignment="1" applyProtection="1"/>
    <xf numFmtId="179" fontId="4" fillId="0" borderId="169" xfId="0" applyNumberFormat="1" applyFont="1" applyBorder="1" applyAlignment="1" applyProtection="1"/>
    <xf numFmtId="179" fontId="4" fillId="0" borderId="170" xfId="0" applyNumberFormat="1" applyFont="1" applyBorder="1" applyAlignment="1"/>
    <xf numFmtId="179" fontId="4" fillId="0" borderId="155" xfId="0" applyNumberFormat="1" applyFont="1" applyBorder="1" applyAlignment="1" applyProtection="1"/>
    <xf numFmtId="179" fontId="4" fillId="5" borderId="83" xfId="0" applyNumberFormat="1" applyFont="1" applyFill="1" applyBorder="1"/>
    <xf numFmtId="0" fontId="4" fillId="0" borderId="83" xfId="0" applyFont="1" applyBorder="1" applyAlignment="1">
      <alignment horizontal="center"/>
    </xf>
    <xf numFmtId="176" fontId="4" fillId="5" borderId="83" xfId="12" applyNumberFormat="1" applyFont="1" applyFill="1" applyBorder="1" applyProtection="1">
      <protection locked="0"/>
    </xf>
    <xf numFmtId="179" fontId="4" fillId="0" borderId="169" xfId="0" applyNumberFormat="1" applyFont="1" applyBorder="1" applyAlignment="1" applyProtection="1">
      <alignment horizontal="right"/>
    </xf>
    <xf numFmtId="179" fontId="4" fillId="0" borderId="170" xfId="0" applyNumberFormat="1" applyFont="1" applyBorder="1" applyAlignment="1">
      <alignment horizontal="right"/>
    </xf>
    <xf numFmtId="177" fontId="4" fillId="5" borderId="33" xfId="0" applyNumberFormat="1" applyFont="1" applyFill="1" applyBorder="1" applyAlignment="1" applyProtection="1">
      <protection locked="0"/>
    </xf>
    <xf numFmtId="178" fontId="4" fillId="5" borderId="33" xfId="0" applyNumberFormat="1" applyFont="1" applyFill="1" applyBorder="1" applyProtection="1">
      <protection locked="0"/>
    </xf>
    <xf numFmtId="0" fontId="4" fillId="0" borderId="152" xfId="0" quotePrefix="1" applyFont="1" applyBorder="1" applyAlignment="1">
      <alignment horizontal="left"/>
    </xf>
    <xf numFmtId="0" fontId="4" fillId="0" borderId="163" xfId="0" applyFont="1" applyBorder="1"/>
    <xf numFmtId="0" fontId="4" fillId="0" borderId="163" xfId="0" applyFont="1" applyBorder="1" applyAlignment="1"/>
    <xf numFmtId="0" fontId="4" fillId="0" borderId="163" xfId="0" quotePrefix="1" applyFont="1" applyBorder="1" applyAlignment="1">
      <alignment horizontal="left"/>
    </xf>
    <xf numFmtId="0" fontId="4" fillId="0" borderId="171" xfId="0" applyFont="1" applyBorder="1"/>
    <xf numFmtId="0" fontId="4" fillId="0" borderId="172" xfId="0" applyFont="1" applyBorder="1"/>
    <xf numFmtId="0" fontId="4" fillId="0" borderId="124" xfId="0" applyFont="1" applyBorder="1" applyAlignment="1"/>
    <xf numFmtId="0" fontId="6" fillId="0" borderId="152" xfId="0" applyFont="1" applyBorder="1" applyAlignment="1"/>
    <xf numFmtId="0" fontId="4" fillId="0" borderId="154" xfId="0" applyFont="1" applyBorder="1" applyAlignment="1"/>
    <xf numFmtId="0" fontId="4" fillId="0" borderId="173" xfId="0" applyFont="1" applyBorder="1" applyAlignment="1"/>
    <xf numFmtId="0" fontId="4" fillId="0" borderId="173" xfId="0" quotePrefix="1" applyFont="1" applyBorder="1" applyAlignment="1">
      <alignment horizontal="left"/>
    </xf>
    <xf numFmtId="0" fontId="6" fillId="0" borderId="33" xfId="0" applyFont="1" applyBorder="1" applyAlignment="1">
      <alignment horizontal="right"/>
    </xf>
    <xf numFmtId="0" fontId="6" fillId="0" borderId="24" xfId="0" applyFont="1" applyBorder="1" applyAlignment="1">
      <alignment horizontal="right"/>
    </xf>
    <xf numFmtId="0" fontId="6" fillId="0" borderId="1" xfId="0" applyFont="1" applyBorder="1"/>
    <xf numFmtId="0" fontId="6" fillId="0" borderId="8" xfId="0" applyFont="1" applyBorder="1"/>
    <xf numFmtId="0" fontId="6" fillId="0" borderId="55" xfId="0" applyFont="1" applyBorder="1" applyAlignment="1">
      <alignment horizontal="right"/>
    </xf>
    <xf numFmtId="0" fontId="6" fillId="0" borderId="55" xfId="0" applyFont="1" applyBorder="1" applyAlignment="1"/>
    <xf numFmtId="0" fontId="4" fillId="0" borderId="161" xfId="0" applyFont="1" applyBorder="1" applyAlignment="1"/>
    <xf numFmtId="0" fontId="4" fillId="0" borderId="8" xfId="0" applyFont="1" applyBorder="1" applyAlignment="1">
      <alignment horizontal="left"/>
    </xf>
    <xf numFmtId="167" fontId="6" fillId="0" borderId="33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quotePrefix="1" applyFont="1" applyBorder="1" applyAlignment="1"/>
    <xf numFmtId="0" fontId="0" fillId="0" borderId="2" xfId="0" applyBorder="1"/>
    <xf numFmtId="0" fontId="0" fillId="0" borderId="3" xfId="0" quotePrefix="1" applyBorder="1" applyAlignment="1">
      <alignment horizontal="left"/>
    </xf>
    <xf numFmtId="0" fontId="0" fillId="0" borderId="2" xfId="0" quotePrefix="1" applyBorder="1" applyAlignment="1">
      <alignment horizontal="left"/>
    </xf>
    <xf numFmtId="0" fontId="0" fillId="0" borderId="3" xfId="0" applyBorder="1"/>
    <xf numFmtId="0" fontId="0" fillId="0" borderId="1" xfId="0" applyBorder="1"/>
    <xf numFmtId="179" fontId="0" fillId="0" borderId="2" xfId="0" applyNumberFormat="1" applyFill="1" applyBorder="1" applyAlignment="1"/>
    <xf numFmtId="179" fontId="0" fillId="0" borderId="3" xfId="0" applyNumberFormat="1" applyFill="1" applyBorder="1" applyAlignment="1"/>
    <xf numFmtId="179" fontId="0" fillId="0" borderId="3" xfId="0" applyNumberFormat="1" applyFill="1" applyBorder="1" applyAlignment="1" applyProtection="1">
      <protection locked="0"/>
    </xf>
    <xf numFmtId="179" fontId="0" fillId="0" borderId="1" xfId="0" applyNumberFormat="1" applyFill="1" applyBorder="1" applyAlignment="1" applyProtection="1">
      <protection locked="0"/>
    </xf>
    <xf numFmtId="0" fontId="0" fillId="0" borderId="121" xfId="0" quotePrefix="1" applyFill="1" applyBorder="1" applyAlignment="1">
      <alignment horizontal="center"/>
    </xf>
    <xf numFmtId="190" fontId="4" fillId="0" borderId="123" xfId="12" applyNumberFormat="1" applyFont="1" applyFill="1" applyBorder="1"/>
    <xf numFmtId="190" fontId="4" fillId="0" borderId="28" xfId="12" applyNumberFormat="1" applyFont="1" applyFill="1" applyBorder="1"/>
    <xf numFmtId="190" fontId="4" fillId="0" borderId="22" xfId="12" applyNumberFormat="1" applyFont="1" applyFill="1" applyBorder="1"/>
    <xf numFmtId="190" fontId="4" fillId="0" borderId="101" xfId="12" applyNumberFormat="1" applyFont="1" applyFill="1" applyBorder="1"/>
    <xf numFmtId="200" fontId="4" fillId="5" borderId="122" xfId="12" applyNumberFormat="1" applyFont="1" applyFill="1" applyBorder="1" applyProtection="1">
      <protection locked="0"/>
    </xf>
    <xf numFmtId="200" fontId="4" fillId="5" borderId="27" xfId="12" applyNumberFormat="1" applyFont="1" applyFill="1" applyBorder="1" applyProtection="1">
      <protection locked="0"/>
    </xf>
    <xf numFmtId="200" fontId="4" fillId="5" borderId="21" xfId="12" applyNumberFormat="1" applyFont="1" applyFill="1" applyBorder="1" applyProtection="1">
      <protection locked="0"/>
    </xf>
    <xf numFmtId="200" fontId="4" fillId="5" borderId="174" xfId="12" applyNumberFormat="1" applyFont="1" applyFill="1" applyBorder="1" applyProtection="1">
      <protection locked="0"/>
    </xf>
    <xf numFmtId="200" fontId="4" fillId="5" borderId="175" xfId="12" applyNumberFormat="1" applyFont="1" applyFill="1" applyBorder="1" applyProtection="1">
      <protection locked="0"/>
    </xf>
    <xf numFmtId="199" fontId="4" fillId="0" borderId="176" xfId="0" applyNumberFormat="1" applyFont="1" applyBorder="1" applyAlignment="1">
      <alignment horizontal="center"/>
    </xf>
    <xf numFmtId="199" fontId="4" fillId="0" borderId="176" xfId="0" applyNumberFormat="1" applyFont="1" applyBorder="1" applyAlignment="1" applyProtection="1">
      <alignment horizontal="center"/>
    </xf>
    <xf numFmtId="199" fontId="6" fillId="0" borderId="177" xfId="0" applyNumberFormat="1" applyFont="1" applyBorder="1" applyAlignment="1" applyProtection="1">
      <alignment horizontal="center"/>
    </xf>
    <xf numFmtId="199" fontId="6" fillId="0" borderId="82" xfId="0" applyNumberFormat="1" applyFont="1" applyBorder="1" applyAlignment="1" applyProtection="1">
      <alignment horizontal="center"/>
    </xf>
    <xf numFmtId="199" fontId="4" fillId="0" borderId="178" xfId="0" applyNumberFormat="1" applyFont="1" applyBorder="1" applyAlignment="1" applyProtection="1">
      <alignment horizontal="center"/>
    </xf>
    <xf numFmtId="199" fontId="4" fillId="0" borderId="29" xfId="0" applyNumberFormat="1" applyFont="1" applyBorder="1" applyAlignment="1" applyProtection="1">
      <alignment horizontal="center"/>
    </xf>
    <xf numFmtId="199" fontId="4" fillId="0" borderId="82" xfId="0" applyNumberFormat="1" applyFont="1" applyBorder="1" applyAlignment="1" applyProtection="1">
      <alignment horizontal="center"/>
    </xf>
    <xf numFmtId="199" fontId="6" fillId="0" borderId="16" xfId="0" applyNumberFormat="1" applyFont="1" applyBorder="1" applyAlignment="1" applyProtection="1">
      <alignment horizontal="center"/>
    </xf>
    <xf numFmtId="199" fontId="20" fillId="0" borderId="179" xfId="0" applyNumberFormat="1" applyFont="1" applyBorder="1" applyAlignment="1" applyProtection="1">
      <alignment horizontal="center"/>
    </xf>
    <xf numFmtId="199" fontId="4" fillId="0" borderId="5" xfId="0" applyNumberFormat="1" applyFont="1" applyBorder="1" applyAlignment="1" applyProtection="1">
      <alignment horizontal="center"/>
    </xf>
    <xf numFmtId="199" fontId="4" fillId="0" borderId="5" xfId="0" applyNumberFormat="1" applyFont="1" applyFill="1" applyBorder="1" applyAlignment="1" applyProtection="1">
      <alignment horizontal="center"/>
    </xf>
    <xf numFmtId="199" fontId="4" fillId="0" borderId="177" xfId="0" applyNumberFormat="1" applyFont="1" applyBorder="1" applyAlignment="1" applyProtection="1">
      <alignment horizontal="center"/>
    </xf>
    <xf numFmtId="199" fontId="4" fillId="0" borderId="176" xfId="0" applyNumberFormat="1" applyFont="1" applyFill="1" applyBorder="1" applyAlignment="1" applyProtection="1">
      <alignment horizontal="center"/>
    </xf>
    <xf numFmtId="199" fontId="4" fillId="0" borderId="177" xfId="0" applyNumberFormat="1" applyFont="1" applyFill="1" applyBorder="1" applyAlignment="1" applyProtection="1">
      <alignment horizontal="center"/>
    </xf>
    <xf numFmtId="199" fontId="4" fillId="0" borderId="70" xfId="0" applyNumberFormat="1" applyFont="1" applyBorder="1" applyAlignment="1" applyProtection="1">
      <alignment horizontal="center"/>
    </xf>
    <xf numFmtId="199" fontId="6" fillId="0" borderId="74" xfId="0" applyNumberFormat="1" applyFont="1" applyBorder="1" applyAlignment="1" applyProtection="1">
      <alignment horizontal="center"/>
    </xf>
    <xf numFmtId="199" fontId="6" fillId="0" borderId="180" xfId="0" applyNumberFormat="1" applyFont="1" applyBorder="1" applyAlignment="1" applyProtection="1">
      <alignment horizontal="center"/>
    </xf>
    <xf numFmtId="199" fontId="4" fillId="0" borderId="142" xfId="0" applyNumberFormat="1" applyFont="1" applyBorder="1" applyAlignment="1" applyProtection="1">
      <alignment horizontal="center"/>
    </xf>
    <xf numFmtId="199" fontId="4" fillId="0" borderId="181" xfId="0" applyNumberFormat="1" applyFont="1" applyBorder="1" applyAlignment="1" applyProtection="1">
      <alignment horizontal="center"/>
    </xf>
    <xf numFmtId="199" fontId="4" fillId="0" borderId="180" xfId="0" applyNumberFormat="1" applyFont="1" applyBorder="1" applyAlignment="1" applyProtection="1">
      <alignment horizontal="center"/>
    </xf>
    <xf numFmtId="199" fontId="6" fillId="0" borderId="182" xfId="0" applyNumberFormat="1" applyFont="1" applyBorder="1" applyAlignment="1" applyProtection="1">
      <alignment horizontal="center"/>
    </xf>
    <xf numFmtId="199" fontId="20" fillId="0" borderId="77" xfId="0" applyNumberFormat="1" applyFont="1" applyBorder="1" applyAlignment="1" applyProtection="1">
      <alignment horizontal="center"/>
    </xf>
    <xf numFmtId="199" fontId="4" fillId="0" borderId="166" xfId="0" applyNumberFormat="1" applyFont="1" applyBorder="1" applyAlignment="1" applyProtection="1">
      <alignment horizontal="center"/>
    </xf>
    <xf numFmtId="199" fontId="4" fillId="0" borderId="166" xfId="0" applyNumberFormat="1" applyFont="1" applyFill="1" applyBorder="1" applyAlignment="1" applyProtection="1">
      <alignment horizontal="center"/>
    </xf>
    <xf numFmtId="199" fontId="4" fillId="0" borderId="74" xfId="0" applyNumberFormat="1" applyFont="1" applyBorder="1" applyAlignment="1" applyProtection="1">
      <alignment horizontal="center"/>
    </xf>
    <xf numFmtId="199" fontId="4" fillId="0" borderId="70" xfId="0" applyNumberFormat="1" applyFont="1" applyFill="1" applyBorder="1" applyAlignment="1" applyProtection="1">
      <alignment horizontal="center"/>
    </xf>
    <xf numFmtId="199" fontId="4" fillId="0" borderId="74" xfId="0" applyNumberFormat="1" applyFont="1" applyFill="1" applyBorder="1" applyAlignment="1" applyProtection="1">
      <alignment horizontal="center"/>
    </xf>
    <xf numFmtId="0" fontId="6" fillId="0" borderId="183" xfId="0" applyFont="1" applyBorder="1" applyAlignment="1">
      <alignment horizontal="centerContinuous"/>
    </xf>
    <xf numFmtId="0" fontId="6" fillId="0" borderId="184" xfId="0" applyFont="1" applyBorder="1" applyAlignment="1">
      <alignment horizontal="centerContinuous"/>
    </xf>
    <xf numFmtId="0" fontId="6" fillId="0" borderId="185" xfId="0" applyFont="1" applyBorder="1" applyAlignment="1">
      <alignment horizontal="centerContinuous"/>
    </xf>
    <xf numFmtId="0" fontId="6" fillId="0" borderId="186" xfId="0" applyFont="1" applyBorder="1" applyAlignment="1">
      <alignment horizontal="centerContinuous"/>
    </xf>
    <xf numFmtId="0" fontId="6" fillId="0" borderId="187" xfId="0" applyFont="1" applyBorder="1" applyAlignment="1">
      <alignment horizontal="centerContinuous"/>
    </xf>
    <xf numFmtId="0" fontId="6" fillId="0" borderId="188" xfId="0" applyFont="1" applyBorder="1" applyAlignment="1">
      <alignment horizontal="centerContinuous"/>
    </xf>
    <xf numFmtId="0" fontId="6" fillId="0" borderId="188" xfId="0" applyFont="1" applyBorder="1" applyAlignment="1"/>
    <xf numFmtId="0" fontId="6" fillId="0" borderId="189" xfId="0" applyFont="1" applyBorder="1" applyAlignment="1"/>
    <xf numFmtId="0" fontId="0" fillId="0" borderId="190" xfId="0" applyBorder="1" applyAlignment="1">
      <alignment horizontal="center"/>
    </xf>
    <xf numFmtId="0" fontId="7" fillId="5" borderId="0" xfId="0" applyFont="1" applyFill="1" applyAlignment="1">
      <alignment horizontal="right"/>
    </xf>
    <xf numFmtId="0" fontId="4" fillId="0" borderId="29" xfId="0" applyFont="1" applyBorder="1" applyAlignment="1">
      <alignment horizontal="left"/>
    </xf>
    <xf numFmtId="0" fontId="4" fillId="0" borderId="191" xfId="0" quotePrefix="1" applyFont="1" applyBorder="1" applyAlignment="1">
      <alignment horizontal="left"/>
    </xf>
    <xf numFmtId="0" fontId="4" fillId="0" borderId="192" xfId="0" applyFont="1" applyBorder="1"/>
    <xf numFmtId="179" fontId="4" fillId="5" borderId="192" xfId="0" applyNumberFormat="1" applyFont="1" applyFill="1" applyBorder="1" applyProtection="1"/>
    <xf numFmtId="0" fontId="4" fillId="0" borderId="193" xfId="0" applyFont="1" applyBorder="1" applyAlignment="1">
      <alignment horizontal="left"/>
    </xf>
    <xf numFmtId="0" fontId="4" fillId="0" borderId="0" xfId="16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right"/>
    </xf>
    <xf numFmtId="0" fontId="4" fillId="0" borderId="8" xfId="0" quotePrefix="1" applyFont="1" applyBorder="1" applyAlignment="1">
      <alignment horizontal="left"/>
    </xf>
    <xf numFmtId="0" fontId="4" fillId="0" borderId="8" xfId="0" applyFont="1" applyBorder="1"/>
    <xf numFmtId="0" fontId="6" fillId="0" borderId="8" xfId="0" applyFont="1" applyBorder="1" applyAlignment="1">
      <alignment horizontal="right"/>
    </xf>
    <xf numFmtId="0" fontId="6" fillId="0" borderId="8" xfId="0" applyFont="1" applyBorder="1" applyAlignment="1"/>
    <xf numFmtId="179" fontId="6" fillId="0" borderId="194" xfId="0" applyNumberFormat="1" applyFont="1" applyBorder="1" applyAlignment="1" applyProtection="1"/>
    <xf numFmtId="179" fontId="6" fillId="0" borderId="195" xfId="0" applyNumberFormat="1" applyFont="1" applyBorder="1" applyAlignment="1" applyProtection="1"/>
    <xf numFmtId="0" fontId="6" fillId="0" borderId="49" xfId="0" applyFont="1" applyBorder="1" applyAlignment="1">
      <alignment horizontal="centerContinuous"/>
    </xf>
    <xf numFmtId="0" fontId="12" fillId="0" borderId="33" xfId="14" applyFont="1" applyBorder="1" applyAlignment="1">
      <alignment horizontal="right"/>
    </xf>
    <xf numFmtId="0" fontId="12" fillId="0" borderId="33" xfId="14" applyFont="1" applyBorder="1"/>
    <xf numFmtId="0" fontId="12" fillId="0" borderId="33" xfId="0" applyFont="1" applyBorder="1"/>
    <xf numFmtId="179" fontId="4" fillId="0" borderId="0" xfId="0" applyNumberFormat="1" applyFont="1" applyFill="1" applyBorder="1" applyAlignment="1">
      <alignment horizontal="right"/>
    </xf>
    <xf numFmtId="170" fontId="4" fillId="0" borderId="0" xfId="0" applyNumberFormat="1" applyFont="1" applyFill="1" applyBorder="1" applyAlignment="1">
      <alignment horizontal="left"/>
    </xf>
    <xf numFmtId="177" fontId="4" fillId="0" borderId="0" xfId="0" applyNumberFormat="1" applyFont="1" applyFill="1" applyBorder="1" applyAlignment="1" applyProtection="1">
      <protection locked="0"/>
    </xf>
    <xf numFmtId="0" fontId="12" fillId="0" borderId="33" xfId="14" applyFont="1" applyBorder="1" applyAlignment="1">
      <alignment horizontal="left"/>
    </xf>
    <xf numFmtId="0" fontId="20" fillId="0" borderId="8" xfId="14" applyFont="1" applyBorder="1" applyAlignment="1">
      <alignment horizontal="left"/>
    </xf>
    <xf numFmtId="0" fontId="12" fillId="0" borderId="150" xfId="14" applyFont="1" applyBorder="1" applyAlignment="1">
      <alignment horizontal="left"/>
    </xf>
    <xf numFmtId="0" fontId="12" fillId="0" borderId="150" xfId="14" quotePrefix="1" applyFont="1" applyBorder="1" applyAlignment="1">
      <alignment horizontal="right"/>
    </xf>
    <xf numFmtId="0" fontId="12" fillId="0" borderId="150" xfId="14" applyFont="1" applyBorder="1"/>
    <xf numFmtId="0" fontId="12" fillId="0" borderId="150" xfId="0" applyFont="1" applyBorder="1"/>
    <xf numFmtId="0" fontId="12" fillId="0" borderId="1" xfId="14" quotePrefix="1" applyFont="1" applyBorder="1" applyAlignment="1">
      <alignment horizontal="left"/>
    </xf>
    <xf numFmtId="0" fontId="12" fillId="0" borderId="1" xfId="14" quotePrefix="1" applyFont="1" applyBorder="1" applyAlignment="1">
      <alignment horizontal="right"/>
    </xf>
    <xf numFmtId="0" fontId="12" fillId="0" borderId="1" xfId="14" applyFont="1" applyBorder="1"/>
    <xf numFmtId="0" fontId="12" fillId="0" borderId="1" xfId="0" applyFont="1" applyBorder="1"/>
    <xf numFmtId="192" fontId="4" fillId="0" borderId="100" xfId="12" applyNumberFormat="1" applyFont="1" applyBorder="1"/>
    <xf numFmtId="192" fontId="4" fillId="0" borderId="101" xfId="12" applyNumberFormat="1" applyFont="1" applyBorder="1"/>
    <xf numFmtId="179" fontId="4" fillId="0" borderId="100" xfId="0" applyNumberFormat="1" applyFont="1" applyBorder="1"/>
    <xf numFmtId="179" fontId="4" fillId="0" borderId="101" xfId="0" applyNumberFormat="1" applyFont="1" applyBorder="1"/>
    <xf numFmtId="179" fontId="4" fillId="0" borderId="102" xfId="0" applyNumberFormat="1" applyFont="1" applyBorder="1"/>
    <xf numFmtId="179" fontId="12" fillId="0" borderId="149" xfId="0" applyNumberFormat="1" applyFont="1" applyBorder="1" applyAlignment="1">
      <alignment horizontal="right"/>
    </xf>
    <xf numFmtId="179" fontId="12" fillId="0" borderId="151" xfId="0" applyNumberFormat="1" applyFont="1" applyBorder="1"/>
    <xf numFmtId="179" fontId="12" fillId="0" borderId="196" xfId="0" applyNumberFormat="1" applyFont="1" applyBorder="1"/>
    <xf numFmtId="179" fontId="12" fillId="0" borderId="151" xfId="0" applyNumberFormat="1" applyFont="1" applyBorder="1" applyAlignment="1"/>
    <xf numFmtId="179" fontId="12" fillId="0" borderId="149" xfId="0" applyNumberFormat="1" applyFont="1" applyBorder="1" applyAlignment="1">
      <alignment horizontal="centerContinuous"/>
    </xf>
    <xf numFmtId="179" fontId="12" fillId="0" borderId="151" xfId="0" applyNumberFormat="1" applyFont="1" applyBorder="1" applyAlignment="1">
      <alignment horizontal="centerContinuous"/>
    </xf>
    <xf numFmtId="0" fontId="12" fillId="0" borderId="33" xfId="14" quotePrefix="1" applyFont="1" applyBorder="1" applyAlignment="1">
      <alignment horizontal="right"/>
    </xf>
    <xf numFmtId="179" fontId="12" fillId="0" borderId="46" xfId="0" applyNumberFormat="1" applyFont="1" applyBorder="1"/>
    <xf numFmtId="179" fontId="12" fillId="0" borderId="47" xfId="0" applyNumberFormat="1" applyFont="1" applyBorder="1"/>
    <xf numFmtId="179" fontId="12" fillId="0" borderId="48" xfId="0" applyNumberFormat="1" applyFont="1" applyBorder="1"/>
    <xf numFmtId="192" fontId="12" fillId="0" borderId="100" xfId="12" applyNumberFormat="1" applyFont="1" applyBorder="1"/>
    <xf numFmtId="192" fontId="12" fillId="0" borderId="101" xfId="12" applyNumberFormat="1" applyFont="1" applyBorder="1"/>
    <xf numFmtId="179" fontId="12" fillId="0" borderId="100" xfId="0" applyNumberFormat="1" applyFont="1" applyBorder="1"/>
    <xf numFmtId="179" fontId="12" fillId="0" borderId="101" xfId="0" applyNumberFormat="1" applyFont="1" applyBorder="1"/>
    <xf numFmtId="179" fontId="12" fillId="0" borderId="102" xfId="0" applyNumberFormat="1" applyFont="1" applyBorder="1"/>
    <xf numFmtId="0" fontId="12" fillId="0" borderId="2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5" fillId="0" borderId="0" xfId="0" quotePrefix="1" applyFont="1" applyAlignment="1" applyProtection="1">
      <alignment horizontal="left"/>
    </xf>
    <xf numFmtId="0" fontId="0" fillId="0" borderId="0" xfId="0" quotePrefix="1" applyAlignment="1" applyProtection="1">
      <alignment horizontal="right"/>
    </xf>
    <xf numFmtId="0" fontId="12" fillId="0" borderId="197" xfId="0" applyFont="1" applyBorder="1" applyProtection="1">
      <protection locked="0"/>
    </xf>
    <xf numFmtId="0" fontId="12" fillId="0" borderId="198" xfId="0" applyFont="1" applyBorder="1" applyProtection="1">
      <protection locked="0"/>
    </xf>
    <xf numFmtId="0" fontId="15" fillId="0" borderId="137" xfId="0" applyFont="1" applyBorder="1" applyProtection="1"/>
    <xf numFmtId="0" fontId="0" fillId="0" borderId="0" xfId="0" applyBorder="1" applyProtection="1">
      <protection locked="0"/>
    </xf>
    <xf numFmtId="0" fontId="0" fillId="0" borderId="1" xfId="0" applyBorder="1" applyProtection="1"/>
    <xf numFmtId="0" fontId="0" fillId="0" borderId="29" xfId="0" applyBorder="1" applyAlignment="1" applyProtection="1">
      <alignment horizontal="center"/>
    </xf>
    <xf numFmtId="0" fontId="0" fillId="0" borderId="135" xfId="0" applyBorder="1" applyAlignment="1" applyProtection="1">
      <alignment horizontal="center"/>
    </xf>
    <xf numFmtId="0" fontId="0" fillId="0" borderId="29" xfId="0" quotePrefix="1" applyBorder="1" applyAlignment="1" applyProtection="1">
      <alignment horizontal="center"/>
    </xf>
    <xf numFmtId="0" fontId="0" fillId="0" borderId="138" xfId="0" applyBorder="1" applyAlignment="1" applyProtection="1">
      <alignment horizontal="center"/>
    </xf>
    <xf numFmtId="176" fontId="4" fillId="4" borderId="1" xfId="11" applyFont="1" applyFill="1" applyBorder="1" applyProtection="1">
      <protection locked="0"/>
    </xf>
    <xf numFmtId="0" fontId="4" fillId="4" borderId="29" xfId="8" applyFont="1" applyBorder="1" applyProtection="1">
      <protection locked="0"/>
    </xf>
    <xf numFmtId="173" fontId="4" fillId="4" borderId="135" xfId="23" applyFont="1" applyFill="1" applyBorder="1" applyProtection="1">
      <protection locked="0"/>
    </xf>
    <xf numFmtId="173" fontId="4" fillId="0" borderId="135" xfId="24" applyFont="1" applyBorder="1" applyProtection="1"/>
    <xf numFmtId="173" fontId="4" fillId="0" borderId="138" xfId="24" applyFont="1" applyBorder="1" applyProtection="1"/>
    <xf numFmtId="176" fontId="4" fillId="4" borderId="4" xfId="11" applyFont="1" applyFill="1" applyBorder="1" applyProtection="1">
      <protection locked="0"/>
    </xf>
    <xf numFmtId="0" fontId="4" fillId="4" borderId="88" xfId="8" applyFont="1" applyBorder="1" applyProtection="1">
      <protection locked="0"/>
    </xf>
    <xf numFmtId="173" fontId="4" fillId="4" borderId="199" xfId="23" applyFont="1" applyFill="1" applyBorder="1" applyProtection="1">
      <protection locked="0"/>
    </xf>
    <xf numFmtId="173" fontId="4" fillId="0" borderId="199" xfId="24" applyFont="1" applyBorder="1" applyProtection="1"/>
    <xf numFmtId="173" fontId="4" fillId="0" borderId="200" xfId="24" applyFont="1" applyBorder="1" applyProtection="1"/>
    <xf numFmtId="176" fontId="4" fillId="4" borderId="3" xfId="11" applyFont="1" applyFill="1" applyBorder="1" applyProtection="1">
      <protection locked="0"/>
    </xf>
    <xf numFmtId="0" fontId="4" fillId="4" borderId="26" xfId="8" applyFont="1" applyBorder="1" applyProtection="1">
      <protection locked="0"/>
    </xf>
    <xf numFmtId="173" fontId="4" fillId="4" borderId="201" xfId="23" applyFont="1" applyFill="1" applyBorder="1" applyProtection="1">
      <protection locked="0"/>
    </xf>
    <xf numFmtId="173" fontId="4" fillId="0" borderId="201" xfId="24" applyFont="1" applyBorder="1" applyProtection="1"/>
    <xf numFmtId="173" fontId="4" fillId="0" borderId="202" xfId="24" applyFont="1" applyBorder="1" applyProtection="1"/>
    <xf numFmtId="0" fontId="4" fillId="4" borderId="122" xfId="8" applyFont="1" applyBorder="1" applyProtection="1">
      <protection locked="0"/>
    </xf>
    <xf numFmtId="173" fontId="4" fillId="4" borderId="203" xfId="23" applyFont="1" applyFill="1" applyBorder="1" applyProtection="1">
      <protection locked="0"/>
    </xf>
    <xf numFmtId="173" fontId="4" fillId="0" borderId="204" xfId="24" applyFont="1" applyBorder="1" applyProtection="1"/>
    <xf numFmtId="173" fontId="4" fillId="0" borderId="205" xfId="24" applyFont="1" applyBorder="1" applyProtection="1"/>
    <xf numFmtId="0" fontId="4" fillId="4" borderId="27" xfId="8" applyFont="1" applyBorder="1" applyProtection="1">
      <protection locked="0"/>
    </xf>
    <xf numFmtId="173" fontId="4" fillId="4" borderId="206" xfId="23" applyFont="1" applyFill="1" applyBorder="1" applyProtection="1">
      <protection locked="0"/>
    </xf>
    <xf numFmtId="0" fontId="15" fillId="0" borderId="207" xfId="0" quotePrefix="1" applyFont="1" applyFill="1" applyBorder="1" applyAlignment="1" applyProtection="1">
      <alignment horizontal="left"/>
    </xf>
    <xf numFmtId="0" fontId="0" fillId="0" borderId="108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5" fillId="0" borderId="137" xfId="0" applyFont="1" applyFill="1" applyBorder="1" applyProtection="1"/>
    <xf numFmtId="0" fontId="15" fillId="0" borderId="137" xfId="0" applyFont="1" applyFill="1" applyBorder="1" applyProtection="1">
      <protection locked="0"/>
    </xf>
    <xf numFmtId="0" fontId="4" fillId="4" borderId="88" xfId="8" applyFont="1" applyFill="1" applyBorder="1" applyProtection="1">
      <protection locked="0"/>
    </xf>
    <xf numFmtId="173" fontId="4" fillId="0" borderId="199" xfId="24" applyFont="1" applyFill="1" applyBorder="1" applyProtection="1"/>
    <xf numFmtId="173" fontId="4" fillId="0" borderId="200" xfId="24" applyFont="1" applyFill="1" applyBorder="1" applyProtection="1"/>
    <xf numFmtId="0" fontId="15" fillId="0" borderId="207" xfId="0" applyFont="1" applyFill="1" applyBorder="1" applyProtection="1">
      <protection locked="0"/>
    </xf>
    <xf numFmtId="0" fontId="15" fillId="0" borderId="1" xfId="0" quotePrefix="1" applyFont="1" applyFill="1" applyBorder="1" applyAlignment="1" applyProtection="1">
      <alignment horizontal="left"/>
    </xf>
    <xf numFmtId="0" fontId="0" fillId="0" borderId="29" xfId="0" applyFill="1" applyBorder="1" applyProtection="1">
      <protection locked="0"/>
    </xf>
    <xf numFmtId="0" fontId="5" fillId="0" borderId="0" xfId="0" quotePrefix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5" fillId="0" borderId="88" xfId="0" quotePrefix="1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alignment horizontal="right"/>
    </xf>
    <xf numFmtId="0" fontId="5" fillId="4" borderId="4" xfId="8" applyFont="1" applyFill="1" applyBorder="1" applyAlignment="1" applyProtection="1">
      <alignment horizontal="left"/>
      <protection locked="0"/>
    </xf>
    <xf numFmtId="0" fontId="5" fillId="4" borderId="208" xfId="8" applyFont="1" applyFill="1" applyBorder="1" applyAlignment="1" applyProtection="1">
      <alignment horizontal="left"/>
      <protection locked="0"/>
    </xf>
    <xf numFmtId="0" fontId="5" fillId="0" borderId="1" xfId="0" quotePrefix="1" applyFont="1" applyFill="1" applyBorder="1" applyAlignment="1" applyProtection="1">
      <alignment horizontal="left"/>
    </xf>
    <xf numFmtId="176" fontId="5" fillId="4" borderId="1" xfId="11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right"/>
    </xf>
    <xf numFmtId="170" fontId="5" fillId="0" borderId="1" xfId="0" applyNumberFormat="1" applyFont="1" applyFill="1" applyBorder="1" applyAlignment="1" applyProtection="1">
      <alignment horizontal="right"/>
    </xf>
    <xf numFmtId="0" fontId="0" fillId="0" borderId="29" xfId="0" applyFill="1" applyBorder="1" applyAlignment="1" applyProtection="1">
      <alignment horizontal="center"/>
    </xf>
    <xf numFmtId="0" fontId="0" fillId="0" borderId="135" xfId="0" applyFill="1" applyBorder="1" applyAlignment="1" applyProtection="1">
      <alignment horizontal="center"/>
    </xf>
    <xf numFmtId="0" fontId="0" fillId="0" borderId="29" xfId="0" quotePrefix="1" applyFill="1" applyBorder="1" applyAlignment="1" applyProtection="1">
      <alignment horizontal="center"/>
    </xf>
    <xf numFmtId="0" fontId="0" fillId="0" borderId="138" xfId="0" applyFill="1" applyBorder="1" applyAlignment="1" applyProtection="1">
      <alignment horizontal="center"/>
    </xf>
    <xf numFmtId="0" fontId="0" fillId="0" borderId="4" xfId="0" applyFill="1" applyBorder="1" applyAlignment="1" applyProtection="1"/>
    <xf numFmtId="0" fontId="0" fillId="0" borderId="4" xfId="0" applyFill="1" applyBorder="1" applyAlignment="1" applyProtection="1">
      <protection locked="0"/>
    </xf>
    <xf numFmtId="173" fontId="5" fillId="4" borderId="4" xfId="5" applyFont="1" applyFill="1" applyBorder="1" applyProtection="1">
      <protection locked="0"/>
    </xf>
    <xf numFmtId="9" fontId="5" fillId="4" borderId="4" xfId="8" applyNumberFormat="1" applyFont="1" applyFill="1" applyBorder="1" applyProtection="1">
      <protection locked="0"/>
    </xf>
    <xf numFmtId="172" fontId="4" fillId="0" borderId="88" xfId="4" applyFont="1" applyFill="1" applyBorder="1" applyProtection="1"/>
    <xf numFmtId="0" fontId="0" fillId="0" borderId="4" xfId="0" quotePrefix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0" fillId="0" borderId="1" xfId="0" applyFill="1" applyBorder="1" applyAlignment="1" applyProtection="1">
      <alignment horizontal="centerContinuous"/>
    </xf>
    <xf numFmtId="0" fontId="0" fillId="0" borderId="1" xfId="0" applyFill="1" applyBorder="1" applyAlignment="1" applyProtection="1">
      <alignment horizontal="centerContinuous"/>
      <protection locked="0"/>
    </xf>
    <xf numFmtId="172" fontId="4" fillId="4" borderId="4" xfId="4" applyFont="1" applyFill="1" applyBorder="1" applyProtection="1">
      <protection locked="0"/>
    </xf>
    <xf numFmtId="0" fontId="4" fillId="4" borderId="88" xfId="8" applyNumberFormat="1" applyFont="1" applyFill="1" applyBorder="1" applyAlignment="1" applyProtection="1">
      <alignment horizontal="center"/>
      <protection locked="0"/>
    </xf>
    <xf numFmtId="0" fontId="4" fillId="4" borderId="88" xfId="8" applyNumberFormat="1" applyFont="1" applyBorder="1" applyAlignment="1" applyProtection="1">
      <alignment horizontal="center"/>
      <protection locked="0"/>
    </xf>
    <xf numFmtId="0" fontId="15" fillId="0" borderId="207" xfId="0" applyFont="1" applyBorder="1" applyProtection="1">
      <protection locked="0"/>
    </xf>
    <xf numFmtId="0" fontId="15" fillId="0" borderId="1" xfId="0" applyFont="1" applyBorder="1" applyProtection="1"/>
    <xf numFmtId="0" fontId="0" fillId="0" borderId="29" xfId="0" applyBorder="1" applyProtection="1">
      <protection locked="0"/>
    </xf>
    <xf numFmtId="0" fontId="4" fillId="4" borderId="88" xfId="8" applyFont="1" applyBorder="1" applyAlignment="1" applyProtection="1">
      <alignment horizontal="center"/>
      <protection locked="0"/>
    </xf>
    <xf numFmtId="170" fontId="4" fillId="4" borderId="88" xfId="8" applyNumberFormat="1" applyFont="1" applyBorder="1" applyAlignment="1" applyProtection="1">
      <alignment horizontal="center"/>
      <protection locked="0"/>
    </xf>
    <xf numFmtId="0" fontId="15" fillId="0" borderId="1" xfId="0" quotePrefix="1" applyFont="1" applyBorder="1" applyAlignment="1" applyProtection="1">
      <alignment horizontal="left"/>
    </xf>
    <xf numFmtId="0" fontId="15" fillId="0" borderId="207" xfId="0" quotePrefix="1" applyFont="1" applyBorder="1" applyAlignment="1" applyProtection="1">
      <alignment horizontal="left"/>
    </xf>
    <xf numFmtId="0" fontId="0" fillId="0" borderId="137" xfId="0" applyBorder="1" applyProtection="1">
      <protection locked="0"/>
    </xf>
    <xf numFmtId="0" fontId="0" fillId="0" borderId="4" xfId="0" applyBorder="1" applyProtection="1"/>
    <xf numFmtId="9" fontId="4" fillId="4" borderId="4" xfId="8" applyNumberFormat="1" applyFont="1" applyBorder="1" applyProtection="1">
      <protection locked="0"/>
    </xf>
    <xf numFmtId="172" fontId="4" fillId="0" borderId="88" xfId="4" applyFont="1" applyBorder="1" applyProtection="1"/>
    <xf numFmtId="173" fontId="4" fillId="4" borderId="199" xfId="8" applyNumberFormat="1" applyFont="1" applyBorder="1" applyProtection="1">
      <protection locked="0"/>
    </xf>
    <xf numFmtId="0" fontId="0" fillId="0" borderId="4" xfId="0" quotePrefix="1" applyBorder="1" applyAlignment="1" applyProtection="1">
      <alignment horizontal="left"/>
    </xf>
    <xf numFmtId="173" fontId="4" fillId="0" borderId="88" xfId="24" applyFont="1" applyBorder="1" applyProtection="1"/>
    <xf numFmtId="0" fontId="4" fillId="4" borderId="4" xfId="8" applyFont="1" applyBorder="1" applyProtection="1">
      <protection locked="0"/>
    </xf>
    <xf numFmtId="168" fontId="4" fillId="4" borderId="88" xfId="8" applyNumberFormat="1" applyFont="1" applyBorder="1" applyProtection="1">
      <protection locked="0"/>
    </xf>
    <xf numFmtId="0" fontId="4" fillId="4" borderId="199" xfId="8" applyFont="1" applyBorder="1" applyProtection="1">
      <protection locked="0"/>
    </xf>
    <xf numFmtId="0" fontId="0" fillId="0" borderId="207" xfId="0" applyBorder="1" applyProtection="1">
      <protection locked="0"/>
    </xf>
    <xf numFmtId="0" fontId="4" fillId="4" borderId="1" xfId="8" applyFont="1" applyBorder="1" applyProtection="1">
      <protection locked="0"/>
    </xf>
    <xf numFmtId="0" fontId="4" fillId="4" borderId="135" xfId="8" applyFont="1" applyBorder="1" applyProtection="1">
      <protection locked="0"/>
    </xf>
    <xf numFmtId="0" fontId="15" fillId="0" borderId="1" xfId="0" applyFont="1" applyBorder="1" applyAlignment="1" applyProtection="1">
      <alignment horizontal="left"/>
    </xf>
    <xf numFmtId="0" fontId="15" fillId="0" borderId="139" xfId="0" applyFont="1" applyBorder="1" applyProtection="1"/>
    <xf numFmtId="0" fontId="15" fillId="0" borderId="209" xfId="0" applyFont="1" applyBorder="1" applyProtection="1"/>
    <xf numFmtId="0" fontId="0" fillId="0" borderId="210" xfId="0" applyBorder="1" applyProtection="1">
      <protection locked="0"/>
    </xf>
    <xf numFmtId="0" fontId="0" fillId="0" borderId="211" xfId="0" applyBorder="1" applyProtection="1">
      <protection locked="0"/>
    </xf>
    <xf numFmtId="173" fontId="15" fillId="0" borderId="210" xfId="24" applyFont="1" applyBorder="1" applyProtection="1"/>
    <xf numFmtId="173" fontId="15" fillId="0" borderId="212" xfId="24" applyFont="1" applyBorder="1" applyProtection="1"/>
    <xf numFmtId="0" fontId="0" fillId="0" borderId="213" xfId="0" applyBorder="1" applyProtection="1"/>
    <xf numFmtId="0" fontId="0" fillId="0" borderId="214" xfId="0" applyBorder="1" applyProtection="1">
      <protection locked="0"/>
    </xf>
    <xf numFmtId="9" fontId="4" fillId="4" borderId="213" xfId="8" applyNumberFormat="1" applyFont="1" applyBorder="1" applyProtection="1">
      <protection locked="0"/>
    </xf>
    <xf numFmtId="0" fontId="0" fillId="0" borderId="214" xfId="0" quotePrefix="1" applyBorder="1" applyAlignment="1" applyProtection="1">
      <alignment horizontal="left"/>
    </xf>
    <xf numFmtId="173" fontId="4" fillId="0" borderId="214" xfId="24" applyFont="1" applyBorder="1" applyProtection="1"/>
    <xf numFmtId="173" fontId="4" fillId="0" borderId="215" xfId="24" applyFont="1" applyBorder="1" applyProtection="1"/>
    <xf numFmtId="0" fontId="4" fillId="0" borderId="216" xfId="0" applyFont="1" applyBorder="1" applyAlignment="1" applyProtection="1"/>
    <xf numFmtId="0" fontId="0" fillId="0" borderId="214" xfId="0" applyBorder="1" applyProtection="1"/>
    <xf numFmtId="0" fontId="12" fillId="0" borderId="217" xfId="0" quotePrefix="1" applyFont="1" applyBorder="1" applyAlignment="1" applyProtection="1">
      <alignment horizontal="center"/>
    </xf>
    <xf numFmtId="0" fontId="0" fillId="0" borderId="213" xfId="0" applyBorder="1" applyAlignment="1" applyProtection="1">
      <alignment horizontal="center"/>
    </xf>
    <xf numFmtId="0" fontId="0" fillId="0" borderId="217" xfId="0" quotePrefix="1" applyBorder="1" applyAlignment="1" applyProtection="1">
      <alignment horizontal="center"/>
    </xf>
    <xf numFmtId="0" fontId="0" fillId="0" borderId="217" xfId="0" applyBorder="1" applyAlignment="1" applyProtection="1">
      <alignment horizontal="center"/>
    </xf>
    <xf numFmtId="0" fontId="0" fillId="0" borderId="218" xfId="0" applyBorder="1" applyAlignment="1" applyProtection="1">
      <alignment horizontal="center"/>
    </xf>
    <xf numFmtId="176" fontId="12" fillId="4" borderId="219" xfId="11" applyFont="1" applyFill="1" applyBorder="1" applyProtection="1">
      <protection locked="0"/>
    </xf>
    <xf numFmtId="0" fontId="12" fillId="0" borderId="4" xfId="0" applyFont="1" applyBorder="1" applyProtection="1">
      <protection locked="0"/>
    </xf>
    <xf numFmtId="176" fontId="12" fillId="4" borderId="4" xfId="11" applyFont="1" applyFill="1" applyBorder="1" applyAlignment="1" applyProtection="1">
      <protection locked="0"/>
    </xf>
    <xf numFmtId="0" fontId="12" fillId="4" borderId="199" xfId="8" applyFont="1" applyBorder="1" applyAlignment="1" applyProtection="1">
      <alignment horizontal="center"/>
      <protection locked="0"/>
    </xf>
    <xf numFmtId="173" fontId="4" fillId="4" borderId="199" xfId="5" applyFont="1" applyFill="1" applyBorder="1" applyProtection="1">
      <protection locked="0"/>
    </xf>
    <xf numFmtId="173" fontId="4" fillId="4" borderId="200" xfId="23" applyFont="1" applyFill="1" applyBorder="1" applyProtection="1">
      <protection locked="0"/>
    </xf>
    <xf numFmtId="176" fontId="12" fillId="4" borderId="207" xfId="11" applyFont="1" applyFill="1" applyBorder="1" applyProtection="1">
      <protection locked="0"/>
    </xf>
    <xf numFmtId="0" fontId="12" fillId="0" borderId="1" xfId="0" applyFont="1" applyBorder="1" applyProtection="1">
      <protection locked="0"/>
    </xf>
    <xf numFmtId="176" fontId="12" fillId="4" borderId="1" xfId="11" applyFont="1" applyFill="1" applyBorder="1" applyAlignment="1" applyProtection="1">
      <protection locked="0"/>
    </xf>
    <xf numFmtId="0" fontId="12" fillId="4" borderId="135" xfId="8" applyFont="1" applyBorder="1" applyAlignment="1" applyProtection="1">
      <alignment horizontal="center"/>
      <protection locked="0"/>
    </xf>
    <xf numFmtId="0" fontId="4" fillId="4" borderId="29" xfId="8" applyFont="1" applyBorder="1" applyAlignment="1" applyProtection="1">
      <alignment horizontal="center"/>
      <protection locked="0"/>
    </xf>
    <xf numFmtId="173" fontId="4" fillId="4" borderId="135" xfId="5" applyFont="1" applyFill="1" applyBorder="1" applyProtection="1">
      <protection locked="0"/>
    </xf>
    <xf numFmtId="173" fontId="4" fillId="4" borderId="138" xfId="23" applyFont="1" applyFill="1" applyBorder="1" applyProtection="1">
      <protection locked="0"/>
    </xf>
    <xf numFmtId="0" fontId="0" fillId="0" borderId="220" xfId="0" applyBorder="1" applyProtection="1">
      <protection locked="0"/>
    </xf>
    <xf numFmtId="0" fontId="15" fillId="0" borderId="221" xfId="0" applyFont="1" applyBorder="1" applyProtection="1"/>
    <xf numFmtId="0" fontId="0" fillId="0" borderId="221" xfId="0" applyBorder="1" applyProtection="1">
      <protection locked="0"/>
    </xf>
    <xf numFmtId="0" fontId="0" fillId="0" borderId="222" xfId="0" quotePrefix="1" applyBorder="1" applyAlignment="1" applyProtection="1">
      <alignment horizontal="center"/>
    </xf>
    <xf numFmtId="0" fontId="4" fillId="5" borderId="0" xfId="13" quotePrefix="1" applyFont="1" applyFill="1"/>
    <xf numFmtId="0" fontId="0" fillId="0" borderId="131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0" xfId="0" applyFont="1"/>
    <xf numFmtId="0" fontId="0" fillId="0" borderId="0" xfId="0" quotePrefix="1" applyAlignment="1">
      <alignment horizontal="left"/>
    </xf>
    <xf numFmtId="0" fontId="7" fillId="0" borderId="0" xfId="18" quotePrefix="1" applyFont="1" applyAlignment="1">
      <alignment horizontal="left" vertical="top"/>
    </xf>
    <xf numFmtId="202" fontId="3" fillId="0" borderId="0" xfId="16" applyNumberFormat="1"/>
    <xf numFmtId="0" fontId="0" fillId="0" borderId="23" xfId="0" applyBorder="1" applyAlignment="1">
      <alignment horizontal="center"/>
    </xf>
    <xf numFmtId="0" fontId="0" fillId="0" borderId="82" xfId="0" applyBorder="1" applyAlignment="1">
      <alignment horizontal="centerContinuous"/>
    </xf>
    <xf numFmtId="0" fontId="0" fillId="0" borderId="83" xfId="0" applyBorder="1" applyAlignment="1">
      <alignment horizontal="centerContinuous"/>
    </xf>
    <xf numFmtId="0" fontId="0" fillId="0" borderId="85" xfId="0" applyBorder="1" applyAlignment="1">
      <alignment horizontal="center"/>
    </xf>
    <xf numFmtId="0" fontId="0" fillId="0" borderId="85" xfId="0" quotePrefix="1" applyBorder="1" applyAlignment="1">
      <alignment horizontal="center"/>
    </xf>
    <xf numFmtId="0" fontId="0" fillId="0" borderId="29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quotePrefix="1" applyBorder="1" applyAlignment="1">
      <alignment horizontal="center"/>
    </xf>
    <xf numFmtId="0" fontId="0" fillId="0" borderId="223" xfId="0" applyBorder="1" applyAlignment="1">
      <alignment horizontal="center"/>
    </xf>
    <xf numFmtId="202" fontId="2" fillId="0" borderId="0" xfId="16" applyNumberFormat="1" applyFont="1"/>
    <xf numFmtId="204" fontId="0" fillId="5" borderId="87" xfId="0" applyNumberFormat="1" applyFont="1" applyFill="1" applyBorder="1"/>
    <xf numFmtId="204" fontId="0" fillId="0" borderId="87" xfId="0" applyNumberFormat="1" applyFont="1" applyBorder="1"/>
    <xf numFmtId="204" fontId="0" fillId="5" borderId="87" xfId="0" applyNumberFormat="1" applyFont="1" applyFill="1" applyBorder="1" applyAlignment="1"/>
    <xf numFmtId="204" fontId="0" fillId="5" borderId="94" xfId="0" applyNumberFormat="1" applyFont="1" applyFill="1" applyBorder="1"/>
    <xf numFmtId="204" fontId="0" fillId="0" borderId="94" xfId="0" applyNumberFormat="1" applyFont="1" applyBorder="1"/>
    <xf numFmtId="204" fontId="0" fillId="5" borderId="94" xfId="0" applyNumberFormat="1" applyFont="1" applyFill="1" applyBorder="1" applyAlignment="1"/>
    <xf numFmtId="204" fontId="0" fillId="0" borderId="86" xfId="0" applyNumberFormat="1" applyFont="1" applyBorder="1"/>
    <xf numFmtId="1" fontId="23" fillId="0" borderId="7" xfId="16" applyNumberFormat="1" applyFont="1" applyBorder="1" applyAlignment="1">
      <alignment horizontal="center"/>
    </xf>
    <xf numFmtId="201" fontId="0" fillId="0" borderId="0" xfId="0" applyNumberFormat="1" applyFont="1" applyBorder="1"/>
    <xf numFmtId="203" fontId="0" fillId="5" borderId="86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/>
    </xf>
    <xf numFmtId="176" fontId="4" fillId="4" borderId="4" xfId="8" applyNumberFormat="1" applyFont="1" applyBorder="1">
      <protection locked="0"/>
    </xf>
    <xf numFmtId="0" fontId="0" fillId="4" borderId="4" xfId="8" applyFont="1" applyBorder="1">
      <protection locked="0"/>
    </xf>
    <xf numFmtId="0" fontId="0" fillId="4" borderId="1" xfId="8" applyFont="1" applyBorder="1">
      <protection locked="0"/>
    </xf>
    <xf numFmtId="0" fontId="0" fillId="4" borderId="3" xfId="8" applyFont="1" applyBorder="1">
      <protection locked="0"/>
    </xf>
    <xf numFmtId="0" fontId="4" fillId="4" borderId="4" xfId="8" applyFont="1" applyBorder="1">
      <protection locked="0"/>
    </xf>
    <xf numFmtId="0" fontId="4" fillId="4" borderId="1" xfId="8" applyFont="1" applyBorder="1">
      <protection locked="0"/>
    </xf>
    <xf numFmtId="10" fontId="4" fillId="4" borderId="199" xfId="8" applyNumberFormat="1" applyFont="1" applyBorder="1" applyProtection="1">
      <protection locked="0"/>
    </xf>
    <xf numFmtId="0" fontId="12" fillId="4" borderId="4" xfId="8" applyFont="1" applyBorder="1">
      <protection locked="0"/>
    </xf>
    <xf numFmtId="0" fontId="12" fillId="4" borderId="1" xfId="8" applyFont="1" applyBorder="1">
      <protection locked="0"/>
    </xf>
    <xf numFmtId="179" fontId="20" fillId="0" borderId="55" xfId="0" applyNumberFormat="1" applyFont="1" applyBorder="1" applyAlignment="1" applyProtection="1"/>
    <xf numFmtId="179" fontId="4" fillId="0" borderId="89" xfId="12" applyNumberFormat="1" applyFont="1" applyFill="1" applyBorder="1" applyProtection="1">
      <protection locked="0"/>
    </xf>
    <xf numFmtId="179" fontId="25" fillId="7" borderId="149" xfId="0" applyNumberFormat="1" applyFont="1" applyFill="1" applyBorder="1" applyAlignment="1">
      <alignment horizontal="centerContinuous"/>
    </xf>
    <xf numFmtId="179" fontId="25" fillId="7" borderId="151" xfId="0" applyNumberFormat="1" applyFont="1" applyFill="1" applyBorder="1" applyAlignment="1">
      <alignment horizontal="centerContinuous"/>
    </xf>
    <xf numFmtId="179" fontId="25" fillId="7" borderId="196" xfId="0" applyNumberFormat="1" applyFont="1" applyFill="1" applyBorder="1" applyAlignment="1">
      <alignment horizontal="centerContinuous"/>
    </xf>
    <xf numFmtId="179" fontId="25" fillId="8" borderId="149" xfId="0" applyNumberFormat="1" applyFont="1" applyFill="1" applyBorder="1" applyAlignment="1">
      <alignment horizontal="centerContinuous"/>
    </xf>
    <xf numFmtId="179" fontId="25" fillId="8" borderId="151" xfId="0" applyNumberFormat="1" applyFont="1" applyFill="1" applyBorder="1" applyAlignment="1">
      <alignment horizontal="centerContinuous"/>
    </xf>
    <xf numFmtId="179" fontId="25" fillId="8" borderId="196" xfId="0" applyNumberFormat="1" applyFont="1" applyFill="1" applyBorder="1" applyAlignment="1">
      <alignment horizontal="centerContinuous"/>
    </xf>
    <xf numFmtId="191" fontId="0" fillId="0" borderId="4" xfId="0" applyNumberFormat="1" applyFill="1" applyBorder="1" applyProtection="1">
      <protection locked="0"/>
    </xf>
    <xf numFmtId="191" fontId="0" fillId="0" borderId="3" xfId="0" applyNumberFormat="1" applyFill="1" applyBorder="1" applyProtection="1">
      <protection locked="0"/>
    </xf>
    <xf numFmtId="191" fontId="0" fillId="0" borderId="96" xfId="0" applyNumberFormat="1" applyFill="1" applyBorder="1" applyProtection="1">
      <protection locked="0"/>
    </xf>
    <xf numFmtId="171" fontId="11" fillId="4" borderId="29" xfId="8" applyNumberFormat="1" applyFont="1" applyBorder="1">
      <protection locked="0"/>
    </xf>
    <xf numFmtId="0" fontId="5" fillId="0" borderId="0" xfId="0" applyFont="1" applyFill="1" applyBorder="1" applyAlignment="1" applyProtection="1"/>
    <xf numFmtId="0" fontId="3" fillId="9" borderId="0" xfId="16" applyFont="1" applyFill="1" applyProtection="1">
      <protection locked="0"/>
    </xf>
    <xf numFmtId="0" fontId="6" fillId="9" borderId="0" xfId="8" applyFont="1" applyFill="1" applyAlignment="1">
      <alignment horizontal="center"/>
      <protection locked="0"/>
    </xf>
    <xf numFmtId="0" fontId="0" fillId="9" borderId="0" xfId="0" applyFill="1" applyAlignment="1" applyProtection="1">
      <alignment horizontal="left"/>
    </xf>
    <xf numFmtId="176" fontId="6" fillId="4" borderId="0" xfId="11" applyFont="1" applyFill="1" applyProtection="1">
      <protection locked="0"/>
    </xf>
    <xf numFmtId="176" fontId="0" fillId="4" borderId="1" xfId="11" applyFont="1" applyFill="1" applyBorder="1" applyProtection="1">
      <protection locked="0"/>
    </xf>
    <xf numFmtId="176" fontId="0" fillId="4" borderId="4" xfId="11" applyFont="1" applyFill="1" applyBorder="1" applyProtection="1">
      <protection locked="0"/>
    </xf>
    <xf numFmtId="0" fontId="0" fillId="4" borderId="122" xfId="8" applyFont="1" applyBorder="1" applyProtection="1">
      <protection locked="0"/>
    </xf>
    <xf numFmtId="176" fontId="0" fillId="4" borderId="4" xfId="8" applyNumberFormat="1" applyFont="1" applyBorder="1">
      <protection locked="0"/>
    </xf>
    <xf numFmtId="16" fontId="0" fillId="0" borderId="0" xfId="16" applyNumberFormat="1" applyFont="1" applyProtection="1">
      <protection locked="0"/>
    </xf>
    <xf numFmtId="0" fontId="6" fillId="4" borderId="224" xfId="8" applyFont="1" applyBorder="1" applyAlignment="1" applyProtection="1">
      <alignment horizontal="center"/>
      <protection locked="0"/>
    </xf>
    <xf numFmtId="0" fontId="15" fillId="4" borderId="198" xfId="8" applyFont="1" applyBorder="1" applyAlignment="1" applyProtection="1">
      <alignment horizontal="center"/>
      <protection locked="0"/>
    </xf>
    <xf numFmtId="0" fontId="15" fillId="4" borderId="225" xfId="8" applyFont="1" applyBorder="1" applyAlignment="1" applyProtection="1">
      <alignment horizontal="center"/>
      <protection locked="0"/>
    </xf>
    <xf numFmtId="0" fontId="15" fillId="4" borderId="226" xfId="8" applyFont="1" applyBorder="1" applyAlignment="1" applyProtection="1">
      <alignment horizontal="center"/>
      <protection locked="0"/>
    </xf>
    <xf numFmtId="0" fontId="0" fillId="0" borderId="223" xfId="0" applyBorder="1" applyAlignment="1">
      <alignment horizontal="center" vertical="center"/>
    </xf>
    <xf numFmtId="0" fontId="6" fillId="10" borderId="23" xfId="0" applyFont="1" applyFill="1" applyBorder="1" applyAlignment="1">
      <alignment horizontal="center" vertical="center" textRotation="90"/>
    </xf>
    <xf numFmtId="0" fontId="6" fillId="10" borderId="223" xfId="0" applyFont="1" applyFill="1" applyBorder="1" applyAlignment="1">
      <alignment horizontal="center" vertical="center" textRotation="90"/>
    </xf>
    <xf numFmtId="0" fontId="6" fillId="10" borderId="85" xfId="0" applyFont="1" applyFill="1" applyBorder="1" applyAlignment="1">
      <alignment horizontal="center" vertical="center" textRotation="90"/>
    </xf>
    <xf numFmtId="0" fontId="6" fillId="10" borderId="23" xfId="0" quotePrefix="1" applyFont="1" applyFill="1" applyBorder="1" applyAlignment="1">
      <alignment horizontal="center" vertical="center" textRotation="90"/>
    </xf>
    <xf numFmtId="0" fontId="0" fillId="0" borderId="1" xfId="0" applyBorder="1" applyAlignment="1" applyProtection="1">
      <protection locked="0"/>
    </xf>
    <xf numFmtId="0" fontId="0" fillId="5" borderId="5" xfId="0" applyFill="1" applyBorder="1" applyAlignment="1">
      <alignment wrapText="1"/>
    </xf>
    <xf numFmtId="0" fontId="0" fillId="5" borderId="134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34" xfId="0" applyBorder="1" applyAlignment="1">
      <alignment wrapText="1"/>
    </xf>
    <xf numFmtId="0" fontId="0" fillId="5" borderId="5" xfId="0" applyFill="1" applyBorder="1" applyAlignment="1">
      <alignment vertical="top" wrapText="1"/>
    </xf>
    <xf numFmtId="0" fontId="0" fillId="0" borderId="13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170" fontId="0" fillId="4" borderId="88" xfId="8" applyNumberFormat="1" applyFont="1" applyBorder="1" applyAlignment="1" applyProtection="1">
      <alignment horizontal="center"/>
      <protection locked="0"/>
    </xf>
    <xf numFmtId="0" fontId="0" fillId="0" borderId="0" xfId="16" applyFont="1" applyProtection="1">
      <protection locked="0"/>
    </xf>
    <xf numFmtId="3" fontId="4" fillId="4" borderId="33" xfId="0" applyNumberFormat="1" applyFont="1" applyFill="1" applyBorder="1"/>
    <xf numFmtId="3" fontId="4" fillId="4" borderId="1" xfId="0" applyNumberFormat="1" applyFont="1" applyFill="1" applyBorder="1"/>
    <xf numFmtId="177" fontId="4" fillId="0" borderId="33" xfId="0" applyNumberFormat="1" applyFont="1" applyBorder="1" applyAlignment="1"/>
    <xf numFmtId="177" fontId="4" fillId="0" borderId="24" xfId="10" applyNumberFormat="1" applyFont="1" applyBorder="1" applyAlignment="1"/>
  </cellXfs>
  <cellStyles count="26">
    <cellStyle name="AAbstand" xfId="1" xr:uid="{00000000-0005-0000-0000-000000000000}"/>
    <cellStyle name="CodeCol" xfId="2" xr:uid="{00000000-0005-0000-0000-000001000000}"/>
    <cellStyle name="Dez0" xfId="3" xr:uid="{00000000-0005-0000-0000-000002000000}"/>
    <cellStyle name="Dez1" xfId="4" xr:uid="{00000000-0005-0000-0000-000003000000}"/>
    <cellStyle name="Dez2" xfId="5" xr:uid="{00000000-0005-0000-0000-000004000000}"/>
    <cellStyle name="Dez3" xfId="6" xr:uid="{00000000-0005-0000-0000-000005000000}"/>
    <cellStyle name="DlgBackground" xfId="7" xr:uid="{00000000-0005-0000-0000-000006000000}"/>
    <cellStyle name="Edit" xfId="8" xr:uid="{00000000-0005-0000-0000-000007000000}"/>
    <cellStyle name="Euro" xfId="9" xr:uid="{00000000-0005-0000-0000-000008000000}"/>
    <cellStyle name="Komma" xfId="10" builtinId="3"/>
    <cellStyle name="LookUpText" xfId="11" xr:uid="{00000000-0005-0000-0000-00000A000000}"/>
    <cellStyle name="Prozent" xfId="12" builtinId="5"/>
    <cellStyle name="Standard" xfId="0" builtinId="0"/>
    <cellStyle name="Standard_14ZuSau" xfId="13" xr:uid="{00000000-0005-0000-0000-00000D000000}"/>
    <cellStyle name="Standard_Mafru_Mod" xfId="14" xr:uid="{00000000-0005-0000-0000-00000E000000}"/>
    <cellStyle name="Standard_MaSchw" xfId="15" xr:uid="{00000000-0005-0000-0000-00000F000000}"/>
    <cellStyle name="Standard_Weizen" xfId="16" xr:uid="{00000000-0005-0000-0000-000010000000}"/>
    <cellStyle name="TabFont" xfId="17" xr:uid="{00000000-0005-0000-0000-000011000000}"/>
    <cellStyle name="Überschrift" xfId="18" builtinId="15" customBuiltin="1"/>
    <cellStyle name="Ueb1" xfId="19" xr:uid="{00000000-0005-0000-0000-000013000000}"/>
    <cellStyle name="Ueb2" xfId="20" xr:uid="{00000000-0005-0000-0000-000014000000}"/>
    <cellStyle name="Ueb3" xfId="21" xr:uid="{00000000-0005-0000-0000-000015000000}"/>
    <cellStyle name="Ueb4" xfId="22" xr:uid="{00000000-0005-0000-0000-000016000000}"/>
    <cellStyle name="VarDez1" xfId="23" xr:uid="{00000000-0005-0000-0000-000017000000}"/>
    <cellStyle name="VarDez2" xfId="24" xr:uid="{00000000-0005-0000-0000-000018000000}"/>
    <cellStyle name="VarDez2+" xfId="25" xr:uid="{00000000-0005-0000-0000-00001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CC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99060</xdr:colOff>
      <xdr:row>8</xdr:row>
      <xdr:rowOff>99060</xdr:rowOff>
    </xdr:from>
    <xdr:to>
      <xdr:col>11</xdr:col>
      <xdr:colOff>480060</xdr:colOff>
      <xdr:row>11</xdr:row>
      <xdr:rowOff>114300</xdr:rowOff>
    </xdr:to>
    <xdr:grpSp>
      <xdr:nvGrpSpPr>
        <xdr:cNvPr id="13357" name="Group 1">
          <a:extLst>
            <a:ext uri="{FF2B5EF4-FFF2-40B4-BE49-F238E27FC236}">
              <a16:creationId xmlns:a16="http://schemas.microsoft.com/office/drawing/2014/main" id="{DD80DE9B-3DB3-4393-B21C-88FFF55BD258}"/>
            </a:ext>
          </a:extLst>
        </xdr:cNvPr>
        <xdr:cNvGrpSpPr>
          <a:grpSpLocks/>
        </xdr:cNvGrpSpPr>
      </xdr:nvGrpSpPr>
      <xdr:grpSpPr bwMode="auto">
        <a:xfrm>
          <a:off x="2727960" y="1493520"/>
          <a:ext cx="1074420" cy="480060"/>
          <a:chOff x="279" y="149"/>
          <a:chExt cx="110" cy="51"/>
        </a:xfrm>
      </xdr:grpSpPr>
      <xdr:sp macro="" textlink="">
        <xdr:nvSpPr>
          <xdr:cNvPr id="13377" name="Line 2">
            <a:extLst>
              <a:ext uri="{FF2B5EF4-FFF2-40B4-BE49-F238E27FC236}">
                <a16:creationId xmlns:a16="http://schemas.microsoft.com/office/drawing/2014/main" id="{13F11110-1567-4786-88A7-7D278A5799E7}"/>
              </a:ext>
            </a:extLst>
          </xdr:cNvPr>
          <xdr:cNvSpPr>
            <a:spLocks noChangeShapeType="1"/>
          </xdr:cNvSpPr>
        </xdr:nvSpPr>
        <xdr:spPr bwMode="auto">
          <a:xfrm>
            <a:off x="279" y="149"/>
            <a:ext cx="0" cy="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prstDash val="dash"/>
            <a:round/>
            <a:headEnd type="oval" w="sm" len="sm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78" name="Line 3">
            <a:extLst>
              <a:ext uri="{FF2B5EF4-FFF2-40B4-BE49-F238E27FC236}">
                <a16:creationId xmlns:a16="http://schemas.microsoft.com/office/drawing/2014/main" id="{BCCAFEE8-7CA7-4093-B876-47CBE98B0631}"/>
              </a:ext>
            </a:extLst>
          </xdr:cNvPr>
          <xdr:cNvSpPr>
            <a:spLocks noChangeShapeType="1"/>
          </xdr:cNvSpPr>
        </xdr:nvSpPr>
        <xdr:spPr bwMode="auto">
          <a:xfrm>
            <a:off x="279" y="200"/>
            <a:ext cx="11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prstDash val="dash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99060</xdr:colOff>
      <xdr:row>16</xdr:row>
      <xdr:rowOff>106680</xdr:rowOff>
    </xdr:from>
    <xdr:to>
      <xdr:col>11</xdr:col>
      <xdr:colOff>480060</xdr:colOff>
      <xdr:row>19</xdr:row>
      <xdr:rowOff>121920</xdr:rowOff>
    </xdr:to>
    <xdr:grpSp>
      <xdr:nvGrpSpPr>
        <xdr:cNvPr id="13358" name="Group 4">
          <a:extLst>
            <a:ext uri="{FF2B5EF4-FFF2-40B4-BE49-F238E27FC236}">
              <a16:creationId xmlns:a16="http://schemas.microsoft.com/office/drawing/2014/main" id="{11A96896-42E1-4BBA-8422-C92077C60D6C}"/>
            </a:ext>
          </a:extLst>
        </xdr:cNvPr>
        <xdr:cNvGrpSpPr>
          <a:grpSpLocks/>
        </xdr:cNvGrpSpPr>
      </xdr:nvGrpSpPr>
      <xdr:grpSpPr bwMode="auto">
        <a:xfrm>
          <a:off x="2727960" y="2918460"/>
          <a:ext cx="1074420" cy="480060"/>
          <a:chOff x="279" y="149"/>
          <a:chExt cx="110" cy="51"/>
        </a:xfrm>
      </xdr:grpSpPr>
      <xdr:sp macro="" textlink="">
        <xdr:nvSpPr>
          <xdr:cNvPr id="13375" name="Line 5">
            <a:extLst>
              <a:ext uri="{FF2B5EF4-FFF2-40B4-BE49-F238E27FC236}">
                <a16:creationId xmlns:a16="http://schemas.microsoft.com/office/drawing/2014/main" id="{CAA24455-9D1C-4318-ABE6-C66EDD6C7994}"/>
              </a:ext>
            </a:extLst>
          </xdr:cNvPr>
          <xdr:cNvSpPr>
            <a:spLocks noChangeShapeType="1"/>
          </xdr:cNvSpPr>
        </xdr:nvSpPr>
        <xdr:spPr bwMode="auto">
          <a:xfrm>
            <a:off x="279" y="149"/>
            <a:ext cx="0" cy="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prstDash val="dash"/>
            <a:round/>
            <a:headEnd type="oval" w="sm" len="sm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76" name="Line 6">
            <a:extLst>
              <a:ext uri="{FF2B5EF4-FFF2-40B4-BE49-F238E27FC236}">
                <a16:creationId xmlns:a16="http://schemas.microsoft.com/office/drawing/2014/main" id="{CBD3C46A-779E-43A5-84C3-8F4570393A48}"/>
              </a:ext>
            </a:extLst>
          </xdr:cNvPr>
          <xdr:cNvSpPr>
            <a:spLocks noChangeShapeType="1"/>
          </xdr:cNvSpPr>
        </xdr:nvSpPr>
        <xdr:spPr bwMode="auto">
          <a:xfrm>
            <a:off x="279" y="200"/>
            <a:ext cx="11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prstDash val="dash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9</xdr:col>
      <xdr:colOff>99060</xdr:colOff>
      <xdr:row>24</xdr:row>
      <xdr:rowOff>106680</xdr:rowOff>
    </xdr:from>
    <xdr:to>
      <xdr:col>11</xdr:col>
      <xdr:colOff>480060</xdr:colOff>
      <xdr:row>27</xdr:row>
      <xdr:rowOff>121920</xdr:rowOff>
    </xdr:to>
    <xdr:grpSp>
      <xdr:nvGrpSpPr>
        <xdr:cNvPr id="13359" name="Group 7">
          <a:extLst>
            <a:ext uri="{FF2B5EF4-FFF2-40B4-BE49-F238E27FC236}">
              <a16:creationId xmlns:a16="http://schemas.microsoft.com/office/drawing/2014/main" id="{A715CC9A-D301-4382-85CB-BBB07CB29117}"/>
            </a:ext>
          </a:extLst>
        </xdr:cNvPr>
        <xdr:cNvGrpSpPr>
          <a:grpSpLocks/>
        </xdr:cNvGrpSpPr>
      </xdr:nvGrpSpPr>
      <xdr:grpSpPr bwMode="auto">
        <a:xfrm>
          <a:off x="2727960" y="4335780"/>
          <a:ext cx="1074420" cy="480060"/>
          <a:chOff x="279" y="149"/>
          <a:chExt cx="110" cy="51"/>
        </a:xfrm>
      </xdr:grpSpPr>
      <xdr:sp macro="" textlink="">
        <xdr:nvSpPr>
          <xdr:cNvPr id="13373" name="Line 8">
            <a:extLst>
              <a:ext uri="{FF2B5EF4-FFF2-40B4-BE49-F238E27FC236}">
                <a16:creationId xmlns:a16="http://schemas.microsoft.com/office/drawing/2014/main" id="{905F5B9D-AC61-4EE9-A213-B0ACD8ABC161}"/>
              </a:ext>
            </a:extLst>
          </xdr:cNvPr>
          <xdr:cNvSpPr>
            <a:spLocks noChangeShapeType="1"/>
          </xdr:cNvSpPr>
        </xdr:nvSpPr>
        <xdr:spPr bwMode="auto">
          <a:xfrm>
            <a:off x="279" y="149"/>
            <a:ext cx="0" cy="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prstDash val="dash"/>
            <a:round/>
            <a:headEnd type="oval" w="sm" len="sm"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374" name="Line 9">
            <a:extLst>
              <a:ext uri="{FF2B5EF4-FFF2-40B4-BE49-F238E27FC236}">
                <a16:creationId xmlns:a16="http://schemas.microsoft.com/office/drawing/2014/main" id="{8921FB20-9C0D-4B50-82FE-8F903E49179B}"/>
              </a:ext>
            </a:extLst>
          </xdr:cNvPr>
          <xdr:cNvSpPr>
            <a:spLocks noChangeShapeType="1"/>
          </xdr:cNvSpPr>
        </xdr:nvSpPr>
        <xdr:spPr bwMode="auto">
          <a:xfrm>
            <a:off x="279" y="200"/>
            <a:ext cx="11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808080" mc:Ignorable="a14" a14:legacySpreadsheetColorIndex="23"/>
            </a:solidFill>
            <a:prstDash val="dash"/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24</xdr:col>
      <xdr:colOff>91440</xdr:colOff>
      <xdr:row>7</xdr:row>
      <xdr:rowOff>99060</xdr:rowOff>
    </xdr:from>
    <xdr:to>
      <xdr:col>24</xdr:col>
      <xdr:colOff>228600</xdr:colOff>
      <xdr:row>12</xdr:row>
      <xdr:rowOff>106680</xdr:rowOff>
    </xdr:to>
    <xdr:sp macro="" textlink="">
      <xdr:nvSpPr>
        <xdr:cNvPr id="13360" name="Freeform 10">
          <a:extLst>
            <a:ext uri="{FF2B5EF4-FFF2-40B4-BE49-F238E27FC236}">
              <a16:creationId xmlns:a16="http://schemas.microsoft.com/office/drawing/2014/main" id="{93141591-AEA5-4AEB-81C5-8D785C512E07}"/>
            </a:ext>
          </a:extLst>
        </xdr:cNvPr>
        <xdr:cNvSpPr>
          <a:spLocks/>
        </xdr:cNvSpPr>
      </xdr:nvSpPr>
      <xdr:spPr bwMode="auto">
        <a:xfrm>
          <a:off x="9845040" y="1303020"/>
          <a:ext cx="137160" cy="853440"/>
        </a:xfrm>
        <a:custGeom>
          <a:avLst/>
          <a:gdLst>
            <a:gd name="T0" fmla="*/ 0 w 14"/>
            <a:gd name="T1" fmla="*/ 0 h 80"/>
            <a:gd name="T2" fmla="*/ 133350 w 14"/>
            <a:gd name="T3" fmla="*/ 0 h 80"/>
            <a:gd name="T4" fmla="*/ 133350 w 14"/>
            <a:gd name="T5" fmla="*/ 857250 h 80"/>
            <a:gd name="T6" fmla="*/ 19050 w 14"/>
            <a:gd name="T7" fmla="*/ 857250 h 8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4" h="80">
              <a:moveTo>
                <a:pt x="0" y="0"/>
              </a:moveTo>
              <a:lnTo>
                <a:pt x="14" y="0"/>
              </a:lnTo>
              <a:lnTo>
                <a:pt x="14" y="80"/>
              </a:lnTo>
              <a:lnTo>
                <a:pt x="2" y="8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236220</xdr:colOff>
      <xdr:row>7</xdr:row>
      <xdr:rowOff>85725</xdr:rowOff>
    </xdr:from>
    <xdr:to>
      <xdr:col>24</xdr:col>
      <xdr:colOff>369570</xdr:colOff>
      <xdr:row>12</xdr:row>
      <xdr:rowOff>104775</xdr:rowOff>
    </xdr:to>
    <xdr:sp macro="" textlink="">
      <xdr:nvSpPr>
        <xdr:cNvPr id="13323" name="Text Box 11">
          <a:extLst>
            <a:ext uri="{FF2B5EF4-FFF2-40B4-BE49-F238E27FC236}">
              <a16:creationId xmlns:a16="http://schemas.microsoft.com/office/drawing/2014/main" id="{307346BD-674C-4E96-91B1-C7B740C16BC6}"/>
            </a:ext>
          </a:extLst>
        </xdr:cNvPr>
        <xdr:cNvSpPr txBox="1">
          <a:spLocks noChangeArrowheads="1"/>
        </xdr:cNvSpPr>
      </xdr:nvSpPr>
      <xdr:spPr bwMode="auto">
        <a:xfrm>
          <a:off x="9715500" y="1257300"/>
          <a:ext cx="1333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808080"/>
              </a:solidFill>
              <a:latin typeface="Arial"/>
              <a:cs typeface="Arial"/>
            </a:rPr>
            <a:t>unterschiedlich !!</a:t>
          </a:r>
        </a:p>
      </xdr:txBody>
    </xdr:sp>
    <xdr:clientData/>
  </xdr:twoCellAnchor>
  <xdr:twoCellAnchor>
    <xdr:from>
      <xdr:col>24</xdr:col>
      <xdr:colOff>121920</xdr:colOff>
      <xdr:row>23</xdr:row>
      <xdr:rowOff>99060</xdr:rowOff>
    </xdr:from>
    <xdr:to>
      <xdr:col>24</xdr:col>
      <xdr:colOff>259080</xdr:colOff>
      <xdr:row>28</xdr:row>
      <xdr:rowOff>106680</xdr:rowOff>
    </xdr:to>
    <xdr:sp macro="" textlink="">
      <xdr:nvSpPr>
        <xdr:cNvPr id="13362" name="Freeform 12">
          <a:extLst>
            <a:ext uri="{FF2B5EF4-FFF2-40B4-BE49-F238E27FC236}">
              <a16:creationId xmlns:a16="http://schemas.microsoft.com/office/drawing/2014/main" id="{9525C26C-1640-4B4E-B647-4D7FD03303AD}"/>
            </a:ext>
          </a:extLst>
        </xdr:cNvPr>
        <xdr:cNvSpPr>
          <a:spLocks/>
        </xdr:cNvSpPr>
      </xdr:nvSpPr>
      <xdr:spPr bwMode="auto">
        <a:xfrm>
          <a:off x="9875520" y="4137660"/>
          <a:ext cx="137160" cy="853440"/>
        </a:xfrm>
        <a:custGeom>
          <a:avLst/>
          <a:gdLst>
            <a:gd name="T0" fmla="*/ 0 w 14"/>
            <a:gd name="T1" fmla="*/ 0 h 80"/>
            <a:gd name="T2" fmla="*/ 133350 w 14"/>
            <a:gd name="T3" fmla="*/ 0 h 80"/>
            <a:gd name="T4" fmla="*/ 133350 w 14"/>
            <a:gd name="T5" fmla="*/ 857250 h 80"/>
            <a:gd name="T6" fmla="*/ 19050 w 14"/>
            <a:gd name="T7" fmla="*/ 857250 h 8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4" h="80">
              <a:moveTo>
                <a:pt x="0" y="0"/>
              </a:moveTo>
              <a:lnTo>
                <a:pt x="14" y="0"/>
              </a:lnTo>
              <a:lnTo>
                <a:pt x="14" y="80"/>
              </a:lnTo>
              <a:lnTo>
                <a:pt x="2" y="80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solid"/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264795</xdr:colOff>
      <xdr:row>23</xdr:row>
      <xdr:rowOff>85725</xdr:rowOff>
    </xdr:from>
    <xdr:to>
      <xdr:col>24</xdr:col>
      <xdr:colOff>405989</xdr:colOff>
      <xdr:row>28</xdr:row>
      <xdr:rowOff>104775</xdr:rowOff>
    </xdr:to>
    <xdr:sp macro="" textlink="">
      <xdr:nvSpPr>
        <xdr:cNvPr id="13325" name="Text Box 13">
          <a:extLst>
            <a:ext uri="{FF2B5EF4-FFF2-40B4-BE49-F238E27FC236}">
              <a16:creationId xmlns:a16="http://schemas.microsoft.com/office/drawing/2014/main" id="{66DB1D9C-A628-4DD1-909A-3D63923240E9}"/>
            </a:ext>
          </a:extLst>
        </xdr:cNvPr>
        <xdr:cNvSpPr txBox="1">
          <a:spLocks noChangeArrowheads="1"/>
        </xdr:cNvSpPr>
      </xdr:nvSpPr>
      <xdr:spPr bwMode="auto">
        <a:xfrm>
          <a:off x="9744075" y="4095750"/>
          <a:ext cx="13335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>
                    <a:alpha val="50000"/>
                  </a:srgbClr>
                </a:outerShdw>
              </a:effectLst>
            </a14:hiddenEffects>
          </a:ext>
        </a:extLst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808080"/>
              </a:solidFill>
              <a:latin typeface="Arial"/>
              <a:cs typeface="Arial"/>
            </a:rPr>
            <a:t>identisch !!</a:t>
          </a:r>
        </a:p>
      </xdr:txBody>
    </xdr:sp>
    <xdr:clientData/>
  </xdr:twoCellAnchor>
  <xdr:twoCellAnchor>
    <xdr:from>
      <xdr:col>19</xdr:col>
      <xdr:colOff>0</xdr:colOff>
      <xdr:row>15</xdr:row>
      <xdr:rowOff>0</xdr:rowOff>
    </xdr:from>
    <xdr:to>
      <xdr:col>23</xdr:col>
      <xdr:colOff>0</xdr:colOff>
      <xdr:row>21</xdr:row>
      <xdr:rowOff>28575</xdr:rowOff>
    </xdr:to>
    <xdr:sp macro="" textlink="">
      <xdr:nvSpPr>
        <xdr:cNvPr id="13326" name="Text Box 14">
          <a:extLst>
            <a:ext uri="{FF2B5EF4-FFF2-40B4-BE49-F238E27FC236}">
              <a16:creationId xmlns:a16="http://schemas.microsoft.com/office/drawing/2014/main" id="{B8C91D0A-71E4-4D03-B806-85A98EB2E024}"/>
            </a:ext>
          </a:extLst>
        </xdr:cNvPr>
        <xdr:cNvSpPr txBox="1">
          <a:spLocks noChangeArrowheads="1"/>
        </xdr:cNvSpPr>
      </xdr:nvSpPr>
      <xdr:spPr bwMode="auto">
        <a:xfrm>
          <a:off x="6210300" y="2590800"/>
          <a:ext cx="2514600" cy="1066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5080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6800" tIns="46800" rIns="7200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Der saldierte Düngerbedarf bei Stroheinarbeitung ist 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gleich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dem Entzug/Bedarf allein für das geerntete Korn, da für P</a:t>
          </a: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</a:t>
          </a: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5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sowohl beim Wachstumsbedarf als auch bei der Strohrotte 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keine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Nährstoffverluste berücksichtigt werden müssen: 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Bedarfsfaktor = 1 und  Ausnutzung = 100%</a:t>
          </a:r>
        </a:p>
      </xdr:txBody>
    </xdr:sp>
    <xdr:clientData/>
  </xdr:twoCellAnchor>
  <xdr:twoCellAnchor>
    <xdr:from>
      <xdr:col>19</xdr:col>
      <xdr:colOff>0</xdr:colOff>
      <xdr:row>7</xdr:row>
      <xdr:rowOff>0</xdr:rowOff>
    </xdr:from>
    <xdr:to>
      <xdr:col>23</xdr:col>
      <xdr:colOff>0</xdr:colOff>
      <xdr:row>13</xdr:row>
      <xdr:rowOff>28575</xdr:rowOff>
    </xdr:to>
    <xdr:sp macro="" textlink="">
      <xdr:nvSpPr>
        <xdr:cNvPr id="13327" name="Text Box 15">
          <a:extLst>
            <a:ext uri="{FF2B5EF4-FFF2-40B4-BE49-F238E27FC236}">
              <a16:creationId xmlns:a16="http://schemas.microsoft.com/office/drawing/2014/main" id="{D14C06FE-5039-4F8B-B3C0-6247F2F6924C}"/>
            </a:ext>
          </a:extLst>
        </xdr:cNvPr>
        <xdr:cNvSpPr txBox="1">
          <a:spLocks noChangeArrowheads="1"/>
        </xdr:cNvSpPr>
      </xdr:nvSpPr>
      <xdr:spPr bwMode="auto">
        <a:xfrm>
          <a:off x="6210300" y="1171575"/>
          <a:ext cx="2514600" cy="1066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5080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miter lim="800000"/>
          <a:headEnd/>
          <a:tailEnd/>
        </a:ln>
      </xdr:spPr>
      <xdr:txBody>
        <a:bodyPr vertOverflow="clip" wrap="square" lIns="46800" tIns="46800" rIns="7200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Der saldierte Düngerbedarf bei Stroheinarbeitung ist 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höher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als der alleinige Bedarf für das geerntete Korn, da für N sowohl beim Wachstumsbedarf als auch bei der Strohrotte Nährstoffverluste berücksichtigt werden müssen:  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Bedarfsfaktor &gt; 1 und  Ausnutzung &lt; 100%</a:t>
          </a:r>
        </a:p>
      </xdr:txBody>
    </xdr:sp>
    <xdr:clientData/>
  </xdr:twoCellAnchor>
  <xdr:twoCellAnchor>
    <xdr:from>
      <xdr:col>19</xdr:col>
      <xdr:colOff>0</xdr:colOff>
      <xdr:row>23</xdr:row>
      <xdr:rowOff>0</xdr:rowOff>
    </xdr:from>
    <xdr:to>
      <xdr:col>23</xdr:col>
      <xdr:colOff>0</xdr:colOff>
      <xdr:row>29</xdr:row>
      <xdr:rowOff>28575</xdr:rowOff>
    </xdr:to>
    <xdr:sp macro="" textlink="">
      <xdr:nvSpPr>
        <xdr:cNvPr id="13328" name="Text Box 16">
          <a:extLst>
            <a:ext uri="{FF2B5EF4-FFF2-40B4-BE49-F238E27FC236}">
              <a16:creationId xmlns:a16="http://schemas.microsoft.com/office/drawing/2014/main" id="{BC6E2AE2-7885-449C-B626-64E7169E61CC}"/>
            </a:ext>
          </a:extLst>
        </xdr:cNvPr>
        <xdr:cNvSpPr txBox="1">
          <a:spLocks noChangeArrowheads="1"/>
        </xdr:cNvSpPr>
      </xdr:nvSpPr>
      <xdr:spPr bwMode="auto">
        <a:xfrm>
          <a:off x="6210300" y="4010025"/>
          <a:ext cx="2514600" cy="1066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5080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6800" tIns="46800" rIns="7200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Der saldierte Düngerbedarf bei Stroheinarbeitung ist 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gleich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dem Entzug/Bedarf allein für das geerntete Korn, da für K</a:t>
          </a:r>
          <a:r>
            <a:rPr lang="de-DE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 sowohl beim Wachstumsbedarf als auch bei der Strohrotte </a:t>
          </a:r>
          <a:r>
            <a:rPr lang="de-DE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keine</a:t>
          </a: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Nährstoffverluste berücksichtigt werden müssen:</a:t>
          </a: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Bedarfsfaktor = 1 und  Ausnutzung = 100%</a:t>
          </a:r>
        </a:p>
      </xdr:txBody>
    </xdr:sp>
    <xdr:clientData/>
  </xdr:twoCellAnchor>
  <xdr:twoCellAnchor>
    <xdr:from>
      <xdr:col>14</xdr:col>
      <xdr:colOff>30480</xdr:colOff>
      <xdr:row>7</xdr:row>
      <xdr:rowOff>114300</xdr:rowOff>
    </xdr:from>
    <xdr:to>
      <xdr:col>19</xdr:col>
      <xdr:colOff>0</xdr:colOff>
      <xdr:row>7</xdr:row>
      <xdr:rowOff>114300</xdr:rowOff>
    </xdr:to>
    <xdr:sp macro="" textlink="">
      <xdr:nvSpPr>
        <xdr:cNvPr id="13367" name="Line 17">
          <a:extLst>
            <a:ext uri="{FF2B5EF4-FFF2-40B4-BE49-F238E27FC236}">
              <a16:creationId xmlns:a16="http://schemas.microsoft.com/office/drawing/2014/main" id="{CBF341FB-E734-4EE6-86E9-080B3B8C3EC5}"/>
            </a:ext>
          </a:extLst>
        </xdr:cNvPr>
        <xdr:cNvSpPr>
          <a:spLocks noChangeShapeType="1"/>
        </xdr:cNvSpPr>
      </xdr:nvSpPr>
      <xdr:spPr bwMode="auto">
        <a:xfrm>
          <a:off x="4594860" y="1318260"/>
          <a:ext cx="1775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prstDash val="dash"/>
          <a:round/>
          <a:headEnd type="triangle" w="sm" len="med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30480</xdr:colOff>
      <xdr:row>12</xdr:row>
      <xdr:rowOff>106680</xdr:rowOff>
    </xdr:from>
    <xdr:to>
      <xdr:col>19</xdr:col>
      <xdr:colOff>0</xdr:colOff>
      <xdr:row>12</xdr:row>
      <xdr:rowOff>106680</xdr:rowOff>
    </xdr:to>
    <xdr:sp macro="" textlink="">
      <xdr:nvSpPr>
        <xdr:cNvPr id="13368" name="Line 18">
          <a:extLst>
            <a:ext uri="{FF2B5EF4-FFF2-40B4-BE49-F238E27FC236}">
              <a16:creationId xmlns:a16="http://schemas.microsoft.com/office/drawing/2014/main" id="{9AD29FB2-5853-4E66-9AC9-FF5D9C80E017}"/>
            </a:ext>
          </a:extLst>
        </xdr:cNvPr>
        <xdr:cNvSpPr>
          <a:spLocks noChangeShapeType="1"/>
        </xdr:cNvSpPr>
      </xdr:nvSpPr>
      <xdr:spPr bwMode="auto">
        <a:xfrm>
          <a:off x="4594860" y="2156460"/>
          <a:ext cx="1775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prstDash val="dash"/>
          <a:round/>
          <a:headEnd type="triangle" w="sm" len="med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30480</xdr:colOff>
      <xdr:row>15</xdr:row>
      <xdr:rowOff>106680</xdr:rowOff>
    </xdr:from>
    <xdr:to>
      <xdr:col>19</xdr:col>
      <xdr:colOff>0</xdr:colOff>
      <xdr:row>15</xdr:row>
      <xdr:rowOff>106680</xdr:rowOff>
    </xdr:to>
    <xdr:sp macro="" textlink="">
      <xdr:nvSpPr>
        <xdr:cNvPr id="13369" name="Line 19">
          <a:extLst>
            <a:ext uri="{FF2B5EF4-FFF2-40B4-BE49-F238E27FC236}">
              <a16:creationId xmlns:a16="http://schemas.microsoft.com/office/drawing/2014/main" id="{CCE4532D-2146-4E1F-9CC4-C80643E6928B}"/>
            </a:ext>
          </a:extLst>
        </xdr:cNvPr>
        <xdr:cNvSpPr>
          <a:spLocks noChangeShapeType="1"/>
        </xdr:cNvSpPr>
      </xdr:nvSpPr>
      <xdr:spPr bwMode="auto">
        <a:xfrm>
          <a:off x="4594860" y="2727960"/>
          <a:ext cx="1775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prstDash val="dash"/>
          <a:round/>
          <a:headEnd type="triangle" w="sm" len="med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30480</xdr:colOff>
      <xdr:row>20</xdr:row>
      <xdr:rowOff>99060</xdr:rowOff>
    </xdr:from>
    <xdr:to>
      <xdr:col>19</xdr:col>
      <xdr:colOff>0</xdr:colOff>
      <xdr:row>20</xdr:row>
      <xdr:rowOff>99060</xdr:rowOff>
    </xdr:to>
    <xdr:sp macro="" textlink="">
      <xdr:nvSpPr>
        <xdr:cNvPr id="13370" name="Line 20">
          <a:extLst>
            <a:ext uri="{FF2B5EF4-FFF2-40B4-BE49-F238E27FC236}">
              <a16:creationId xmlns:a16="http://schemas.microsoft.com/office/drawing/2014/main" id="{948D0BF3-470C-46F2-A938-15E8240AB7E9}"/>
            </a:ext>
          </a:extLst>
        </xdr:cNvPr>
        <xdr:cNvSpPr>
          <a:spLocks noChangeShapeType="1"/>
        </xdr:cNvSpPr>
      </xdr:nvSpPr>
      <xdr:spPr bwMode="auto">
        <a:xfrm>
          <a:off x="4594860" y="3566160"/>
          <a:ext cx="1775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prstDash val="dash"/>
          <a:round/>
          <a:headEnd type="triangle" w="sm" len="med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30480</xdr:colOff>
      <xdr:row>23</xdr:row>
      <xdr:rowOff>114300</xdr:rowOff>
    </xdr:from>
    <xdr:to>
      <xdr:col>19</xdr:col>
      <xdr:colOff>0</xdr:colOff>
      <xdr:row>23</xdr:row>
      <xdr:rowOff>114300</xdr:rowOff>
    </xdr:to>
    <xdr:sp macro="" textlink="">
      <xdr:nvSpPr>
        <xdr:cNvPr id="13371" name="Line 21">
          <a:extLst>
            <a:ext uri="{FF2B5EF4-FFF2-40B4-BE49-F238E27FC236}">
              <a16:creationId xmlns:a16="http://schemas.microsoft.com/office/drawing/2014/main" id="{B3573D4B-4BD7-475F-9412-6CBB72176876}"/>
            </a:ext>
          </a:extLst>
        </xdr:cNvPr>
        <xdr:cNvSpPr>
          <a:spLocks noChangeShapeType="1"/>
        </xdr:cNvSpPr>
      </xdr:nvSpPr>
      <xdr:spPr bwMode="auto">
        <a:xfrm>
          <a:off x="4594860" y="4152900"/>
          <a:ext cx="1775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prstDash val="dash"/>
          <a:round/>
          <a:headEnd type="triangle" w="sm" len="med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30480</xdr:colOff>
      <xdr:row>28</xdr:row>
      <xdr:rowOff>121920</xdr:rowOff>
    </xdr:from>
    <xdr:to>
      <xdr:col>19</xdr:col>
      <xdr:colOff>0</xdr:colOff>
      <xdr:row>28</xdr:row>
      <xdr:rowOff>121920</xdr:rowOff>
    </xdr:to>
    <xdr:sp macro="" textlink="">
      <xdr:nvSpPr>
        <xdr:cNvPr id="13372" name="Line 22">
          <a:extLst>
            <a:ext uri="{FF2B5EF4-FFF2-40B4-BE49-F238E27FC236}">
              <a16:creationId xmlns:a16="http://schemas.microsoft.com/office/drawing/2014/main" id="{DCFDE512-C898-4B51-ABD4-2D018D6BA443}"/>
            </a:ext>
          </a:extLst>
        </xdr:cNvPr>
        <xdr:cNvSpPr>
          <a:spLocks noChangeShapeType="1"/>
        </xdr:cNvSpPr>
      </xdr:nvSpPr>
      <xdr:spPr bwMode="auto">
        <a:xfrm>
          <a:off x="4594860" y="5006340"/>
          <a:ext cx="177546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A6CAF0" mc:Ignorable="a14" a14:legacySpreadsheetColorIndex="44"/>
          </a:solidFill>
          <a:prstDash val="dash"/>
          <a:round/>
          <a:headEnd type="triangle" w="sm" len="med"/>
          <a:tailEnd type="non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16</xdr:row>
      <xdr:rowOff>45720</xdr:rowOff>
    </xdr:from>
    <xdr:to>
      <xdr:col>10</xdr:col>
      <xdr:colOff>342900</xdr:colOff>
      <xdr:row>17</xdr:row>
      <xdr:rowOff>205740</xdr:rowOff>
    </xdr:to>
    <xdr:sp macro="" textlink="">
      <xdr:nvSpPr>
        <xdr:cNvPr id="5158" name="Line 26">
          <a:extLst>
            <a:ext uri="{FF2B5EF4-FFF2-40B4-BE49-F238E27FC236}">
              <a16:creationId xmlns:a16="http://schemas.microsoft.com/office/drawing/2014/main" id="{46E53003-DAAD-4AD7-AA43-5907E55D3008}"/>
            </a:ext>
          </a:extLst>
        </xdr:cNvPr>
        <xdr:cNvSpPr>
          <a:spLocks noChangeShapeType="1"/>
        </xdr:cNvSpPr>
      </xdr:nvSpPr>
      <xdr:spPr bwMode="auto">
        <a:xfrm>
          <a:off x="4213860" y="325374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342900</xdr:colOff>
      <xdr:row>16</xdr:row>
      <xdr:rowOff>45720</xdr:rowOff>
    </xdr:from>
    <xdr:to>
      <xdr:col>14</xdr:col>
      <xdr:colOff>342900</xdr:colOff>
      <xdr:row>17</xdr:row>
      <xdr:rowOff>205740</xdr:rowOff>
    </xdr:to>
    <xdr:sp macro="" textlink="">
      <xdr:nvSpPr>
        <xdr:cNvPr id="5159" name="Line 27">
          <a:extLst>
            <a:ext uri="{FF2B5EF4-FFF2-40B4-BE49-F238E27FC236}">
              <a16:creationId xmlns:a16="http://schemas.microsoft.com/office/drawing/2014/main" id="{E0443833-28F8-4F18-8A5C-83C14EA2C5BF}"/>
            </a:ext>
          </a:extLst>
        </xdr:cNvPr>
        <xdr:cNvSpPr>
          <a:spLocks noChangeShapeType="1"/>
        </xdr:cNvSpPr>
      </xdr:nvSpPr>
      <xdr:spPr bwMode="auto">
        <a:xfrm>
          <a:off x="5265420" y="325374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342900</xdr:colOff>
      <xdr:row>16</xdr:row>
      <xdr:rowOff>45720</xdr:rowOff>
    </xdr:from>
    <xdr:to>
      <xdr:col>24</xdr:col>
      <xdr:colOff>342900</xdr:colOff>
      <xdr:row>17</xdr:row>
      <xdr:rowOff>205740</xdr:rowOff>
    </xdr:to>
    <xdr:sp macro="" textlink="">
      <xdr:nvSpPr>
        <xdr:cNvPr id="5160" name="Line 28">
          <a:extLst>
            <a:ext uri="{FF2B5EF4-FFF2-40B4-BE49-F238E27FC236}">
              <a16:creationId xmlns:a16="http://schemas.microsoft.com/office/drawing/2014/main" id="{38973B09-0F54-4166-9F35-450499F4EA92}"/>
            </a:ext>
          </a:extLst>
        </xdr:cNvPr>
        <xdr:cNvSpPr>
          <a:spLocks noChangeShapeType="1"/>
        </xdr:cNvSpPr>
      </xdr:nvSpPr>
      <xdr:spPr bwMode="auto">
        <a:xfrm>
          <a:off x="8785860" y="325374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342900</xdr:colOff>
      <xdr:row>26</xdr:row>
      <xdr:rowOff>45720</xdr:rowOff>
    </xdr:from>
    <xdr:to>
      <xdr:col>10</xdr:col>
      <xdr:colOff>342900</xdr:colOff>
      <xdr:row>27</xdr:row>
      <xdr:rowOff>205740</xdr:rowOff>
    </xdr:to>
    <xdr:sp macro="" textlink="">
      <xdr:nvSpPr>
        <xdr:cNvPr id="5161" name="Line 29">
          <a:extLst>
            <a:ext uri="{FF2B5EF4-FFF2-40B4-BE49-F238E27FC236}">
              <a16:creationId xmlns:a16="http://schemas.microsoft.com/office/drawing/2014/main" id="{4986B3D7-32F1-45F5-8C19-723A3AD69F76}"/>
            </a:ext>
          </a:extLst>
        </xdr:cNvPr>
        <xdr:cNvSpPr>
          <a:spLocks noChangeShapeType="1"/>
        </xdr:cNvSpPr>
      </xdr:nvSpPr>
      <xdr:spPr bwMode="auto">
        <a:xfrm>
          <a:off x="4213860" y="531876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342900</xdr:colOff>
      <xdr:row>26</xdr:row>
      <xdr:rowOff>45720</xdr:rowOff>
    </xdr:from>
    <xdr:to>
      <xdr:col>14</xdr:col>
      <xdr:colOff>342900</xdr:colOff>
      <xdr:row>27</xdr:row>
      <xdr:rowOff>205740</xdr:rowOff>
    </xdr:to>
    <xdr:sp macro="" textlink="">
      <xdr:nvSpPr>
        <xdr:cNvPr id="5162" name="Line 30">
          <a:extLst>
            <a:ext uri="{FF2B5EF4-FFF2-40B4-BE49-F238E27FC236}">
              <a16:creationId xmlns:a16="http://schemas.microsoft.com/office/drawing/2014/main" id="{CD14947A-9591-4333-B453-1E73D5BEC430}"/>
            </a:ext>
          </a:extLst>
        </xdr:cNvPr>
        <xdr:cNvSpPr>
          <a:spLocks noChangeShapeType="1"/>
        </xdr:cNvSpPr>
      </xdr:nvSpPr>
      <xdr:spPr bwMode="auto">
        <a:xfrm>
          <a:off x="5265420" y="531876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342900</xdr:colOff>
      <xdr:row>26</xdr:row>
      <xdr:rowOff>45720</xdr:rowOff>
    </xdr:from>
    <xdr:to>
      <xdr:col>24</xdr:col>
      <xdr:colOff>342900</xdr:colOff>
      <xdr:row>27</xdr:row>
      <xdr:rowOff>205740</xdr:rowOff>
    </xdr:to>
    <xdr:sp macro="" textlink="">
      <xdr:nvSpPr>
        <xdr:cNvPr id="5163" name="Line 31">
          <a:extLst>
            <a:ext uri="{FF2B5EF4-FFF2-40B4-BE49-F238E27FC236}">
              <a16:creationId xmlns:a16="http://schemas.microsoft.com/office/drawing/2014/main" id="{3CB392F8-BA46-47F7-8B6D-4D4ED9252062}"/>
            </a:ext>
          </a:extLst>
        </xdr:cNvPr>
        <xdr:cNvSpPr>
          <a:spLocks noChangeShapeType="1"/>
        </xdr:cNvSpPr>
      </xdr:nvSpPr>
      <xdr:spPr bwMode="auto">
        <a:xfrm>
          <a:off x="8785860" y="5318760"/>
          <a:ext cx="0" cy="381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hrmodule/0202_Produktionsokonomisches_Seminar/D%20aktuell/!MAX_3201%20Bastelversion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"/>
      <sheetName val="Cover"/>
      <sheetName val="PlanungBsp"/>
      <sheetName val="PlanungBsp2"/>
      <sheetName val="WWeizen"/>
      <sheetName val="FuErbsen"/>
      <sheetName val="WRaps"/>
      <sheetName val="Stilleg"/>
      <sheetName val="Stroh"/>
      <sheetName val="SMais"/>
      <sheetName val="WieseSilage"/>
      <sheetName val="KleegrasHeu"/>
      <sheetName val="Weide"/>
      <sheetName val="MiKuh"/>
      <sheetName val="Schafe"/>
      <sheetName val="MuKu"/>
      <sheetName val="Färse"/>
      <sheetName val="Bulle"/>
      <sheetName val="ZuSau"/>
      <sheetName val="JuSau"/>
      <sheetName val="MSchwein"/>
      <sheetName val="MaHahn"/>
      <sheetName val="NS-Entzug"/>
      <sheetName val="MaKost"/>
      <sheetName val="Geräte"/>
      <sheetName val="Schlepper"/>
      <sheetName val="Preise"/>
      <sheetName val="ZusPV"/>
      <sheetName val="Bilanzen"/>
      <sheetName val="P&amp;G_Ref"/>
      <sheetName val="SelAss"/>
      <sheetName val="RSDlg"/>
      <sheetName val="RNDlg"/>
      <sheetName val="intMsgBox"/>
      <sheetName val="!MAX_3201 Bastelversion16"/>
    </sheetNames>
    <definedNames>
      <definedName name="Interest" refersTo="='Cover'!$G$13"/>
    </definedNames>
    <sheetDataSet>
      <sheetData sheetId="0" refreshError="1"/>
      <sheetData sheetId="1">
        <row r="13">
          <cell r="G13">
            <v>0.05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0">
    <pageSetUpPr fitToPage="1"/>
  </sheetPr>
  <dimension ref="A1:V104"/>
  <sheetViews>
    <sheetView showGridLines="0" topLeftCell="A10" zoomScale="160" zoomScaleNormal="160" workbookViewId="0">
      <selection activeCell="M47" sqref="M47"/>
    </sheetView>
  </sheetViews>
  <sheetFormatPr baseColWidth="10" defaultColWidth="11.44140625" defaultRowHeight="13.2" x14ac:dyDescent="0.25"/>
  <cols>
    <col min="1" max="1" width="2.88671875" style="20" customWidth="1"/>
    <col min="2" max="2" width="1.5546875" style="20" customWidth="1"/>
    <col min="3" max="5" width="1.5546875" style="21" customWidth="1"/>
    <col min="6" max="10" width="5.88671875" style="21" customWidth="1"/>
    <col min="11" max="16" width="9.6640625" style="21" customWidth="1"/>
    <col min="17" max="17" width="11.44140625" style="21"/>
    <col min="18" max="27" width="8.109375" style="21" customWidth="1"/>
    <col min="28" max="28" width="8.33203125" style="21" customWidth="1"/>
    <col min="29" max="29" width="9.33203125" style="21" customWidth="1"/>
    <col min="30" max="16384" width="11.44140625" style="21"/>
  </cols>
  <sheetData>
    <row r="1" spans="1:22" x14ac:dyDescent="0.25">
      <c r="A1" s="19">
        <f t="shared" ref="A1:A31" ca="1" si="0">CELL("row",A1)</f>
        <v>1</v>
      </c>
      <c r="C1" s="808" t="s">
        <v>172</v>
      </c>
      <c r="D1" s="190"/>
      <c r="E1" s="190"/>
      <c r="F1" s="190"/>
      <c r="G1" s="190"/>
      <c r="H1" s="190"/>
      <c r="I1" s="190"/>
      <c r="J1" s="190"/>
      <c r="K1" s="989" t="s">
        <v>237</v>
      </c>
      <c r="L1" s="190"/>
      <c r="M1" s="190"/>
      <c r="N1" s="190"/>
      <c r="O1" s="809" t="s">
        <v>173</v>
      </c>
      <c r="P1" s="988" t="s">
        <v>170</v>
      </c>
      <c r="Q1"/>
      <c r="R1" s="22" t="s">
        <v>174</v>
      </c>
      <c r="S1" s="986" t="s">
        <v>175</v>
      </c>
    </row>
    <row r="2" spans="1:22" ht="13.8" thickBot="1" x14ac:dyDescent="0.3">
      <c r="A2" s="19">
        <f t="shared" ca="1" si="0"/>
        <v>2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/>
    </row>
    <row r="3" spans="1:22" ht="13.8" thickBot="1" x14ac:dyDescent="0.3">
      <c r="A3" s="19">
        <f t="shared" ca="1" si="0"/>
        <v>3</v>
      </c>
      <c r="C3" s="810"/>
      <c r="D3" s="811"/>
      <c r="E3" s="811"/>
      <c r="F3" s="811"/>
      <c r="G3" s="811"/>
      <c r="H3" s="811"/>
      <c r="I3" s="811"/>
      <c r="J3" s="811"/>
      <c r="K3" s="995" t="s">
        <v>238</v>
      </c>
      <c r="L3" s="996"/>
      <c r="M3" s="997"/>
      <c r="N3" s="995" t="s">
        <v>241</v>
      </c>
      <c r="O3" s="996"/>
      <c r="P3" s="998"/>
      <c r="Q3"/>
    </row>
    <row r="4" spans="1:22" ht="13.8" thickTop="1" x14ac:dyDescent="0.25">
      <c r="A4" s="19">
        <f t="shared" ca="1" si="0"/>
        <v>4</v>
      </c>
      <c r="C4" s="812" t="s">
        <v>176</v>
      </c>
      <c r="D4" s="813"/>
      <c r="E4" s="813"/>
      <c r="F4" s="813"/>
      <c r="G4" s="813"/>
      <c r="H4" s="813"/>
      <c r="I4" s="813"/>
      <c r="J4" s="814" t="s">
        <v>177</v>
      </c>
      <c r="K4" s="815" t="s">
        <v>178</v>
      </c>
      <c r="L4" s="816" t="str">
        <f>Curr&amp;"/Einh."</f>
        <v>€/Einh.</v>
      </c>
      <c r="M4" s="816" t="str">
        <f>Curr</f>
        <v>€</v>
      </c>
      <c r="N4" s="817" t="str">
        <f>K4</f>
        <v>Umfang</v>
      </c>
      <c r="O4" s="816" t="str">
        <f>Curr&amp;"/Einh."</f>
        <v>€/Einh.</v>
      </c>
      <c r="P4" s="818" t="str">
        <f>Curr</f>
        <v>€</v>
      </c>
      <c r="Q4"/>
    </row>
    <row r="5" spans="1:22" x14ac:dyDescent="0.25">
      <c r="A5" s="19">
        <f t="shared" ca="1" si="0"/>
        <v>5</v>
      </c>
      <c r="C5" s="495"/>
      <c r="D5" s="496" t="s">
        <v>179</v>
      </c>
      <c r="E5" s="497"/>
      <c r="F5" s="497"/>
      <c r="G5" s="497"/>
      <c r="H5" s="497"/>
      <c r="I5" s="497"/>
      <c r="J5" s="498">
        <f>J6</f>
        <v>0</v>
      </c>
      <c r="K5" s="984">
        <v>85</v>
      </c>
      <c r="L5" s="499"/>
      <c r="M5" s="499"/>
      <c r="N5" s="984">
        <v>40</v>
      </c>
      <c r="O5" s="499"/>
      <c r="P5" s="500"/>
      <c r="Q5"/>
      <c r="V5" s="23"/>
    </row>
    <row r="6" spans="1:22" x14ac:dyDescent="0.25">
      <c r="A6" s="19">
        <f t="shared" ca="1" si="0"/>
        <v>6</v>
      </c>
      <c r="C6" s="495"/>
      <c r="D6" s="501" t="s">
        <v>118</v>
      </c>
      <c r="E6" s="501"/>
      <c r="F6" s="501"/>
      <c r="G6" s="990" t="s">
        <v>239</v>
      </c>
      <c r="H6" s="966"/>
      <c r="I6" s="501"/>
      <c r="J6" s="819"/>
      <c r="K6" s="820">
        <v>70</v>
      </c>
      <c r="L6" s="821">
        <v>22</v>
      </c>
      <c r="M6" s="822">
        <f>L6*K6</f>
        <v>1540</v>
      </c>
      <c r="N6" s="820">
        <v>30</v>
      </c>
      <c r="O6" s="821">
        <v>40</v>
      </c>
      <c r="P6" s="823">
        <f>O6*N6</f>
        <v>1200</v>
      </c>
      <c r="Q6"/>
    </row>
    <row r="7" spans="1:22" x14ac:dyDescent="0.25">
      <c r="A7" s="19">
        <f t="shared" ca="1" si="0"/>
        <v>7</v>
      </c>
      <c r="C7" s="495"/>
      <c r="D7" s="190" t="s">
        <v>119</v>
      </c>
      <c r="E7" s="190"/>
      <c r="F7" s="502"/>
      <c r="G7" s="991" t="s">
        <v>240</v>
      </c>
      <c r="H7" s="965"/>
      <c r="I7" s="503"/>
      <c r="J7" s="824"/>
      <c r="K7" s="825">
        <v>15</v>
      </c>
      <c r="L7" s="826">
        <v>18</v>
      </c>
      <c r="M7" s="827">
        <f>L7*K7</f>
        <v>270</v>
      </c>
      <c r="N7" s="825">
        <v>10</v>
      </c>
      <c r="O7" s="826">
        <v>35</v>
      </c>
      <c r="P7" s="828">
        <f>O7*N7</f>
        <v>350</v>
      </c>
      <c r="Q7"/>
    </row>
    <row r="8" spans="1:22" x14ac:dyDescent="0.25">
      <c r="A8" s="19">
        <f t="shared" ca="1" si="0"/>
        <v>8</v>
      </c>
      <c r="C8" s="495"/>
      <c r="D8" s="501" t="s">
        <v>120</v>
      </c>
      <c r="E8" s="501"/>
      <c r="F8" s="501"/>
      <c r="G8" s="829"/>
      <c r="H8" s="967"/>
      <c r="I8" s="504"/>
      <c r="J8" s="829"/>
      <c r="K8" s="830"/>
      <c r="L8" s="831"/>
      <c r="M8" s="832">
        <f>L8*K8</f>
        <v>0</v>
      </c>
      <c r="N8" s="830"/>
      <c r="O8" s="831"/>
      <c r="P8" s="833">
        <f>O8*N8</f>
        <v>0</v>
      </c>
      <c r="Q8"/>
    </row>
    <row r="9" spans="1:22" s="16" customFormat="1" x14ac:dyDescent="0.25">
      <c r="A9" s="19">
        <f t="shared" ca="1" si="0"/>
        <v>9</v>
      </c>
      <c r="C9" s="495"/>
      <c r="D9" s="505" t="s">
        <v>121</v>
      </c>
      <c r="E9" s="294"/>
      <c r="F9" s="294"/>
      <c r="G9" s="506" t="s">
        <v>242</v>
      </c>
      <c r="H9" s="965"/>
      <c r="I9" s="507"/>
      <c r="J9" s="824"/>
      <c r="K9" s="834"/>
      <c r="L9" s="835"/>
      <c r="M9" s="836">
        <f>L9*K9</f>
        <v>0</v>
      </c>
      <c r="N9" s="992">
        <v>1</v>
      </c>
      <c r="O9" s="835">
        <v>250</v>
      </c>
      <c r="P9" s="837">
        <f>O9*N9</f>
        <v>250</v>
      </c>
      <c r="Q9"/>
      <c r="R9" s="21"/>
      <c r="S9" s="21"/>
    </row>
    <row r="10" spans="1:22" s="16" customFormat="1" x14ac:dyDescent="0.25">
      <c r="A10" s="19">
        <f t="shared" ca="1" si="0"/>
        <v>10</v>
      </c>
      <c r="C10" s="495"/>
      <c r="D10" s="508" t="s">
        <v>122</v>
      </c>
      <c r="E10" s="208"/>
      <c r="F10" s="208"/>
      <c r="G10" s="509"/>
      <c r="H10" s="967"/>
      <c r="I10" s="510"/>
      <c r="J10" s="829"/>
      <c r="K10" s="838"/>
      <c r="L10" s="839"/>
      <c r="M10" s="832">
        <f>L10*K10</f>
        <v>0</v>
      </c>
      <c r="N10" s="838"/>
      <c r="O10" s="839"/>
      <c r="P10" s="833">
        <f>O10*N10</f>
        <v>0</v>
      </c>
      <c r="Q10"/>
      <c r="R10" s="21"/>
      <c r="S10" s="21"/>
    </row>
    <row r="11" spans="1:22" ht="13.8" thickBot="1" x14ac:dyDescent="0.3">
      <c r="A11" s="19">
        <f t="shared" ca="1" si="0"/>
        <v>11</v>
      </c>
      <c r="C11" s="511"/>
      <c r="D11" s="512" t="s">
        <v>180</v>
      </c>
      <c r="E11" s="513"/>
      <c r="F11" s="513"/>
      <c r="G11" s="513"/>
      <c r="H11" s="513"/>
      <c r="I11" s="513"/>
      <c r="J11" s="513"/>
      <c r="K11" s="514"/>
      <c r="L11" s="513"/>
      <c r="M11" s="24">
        <f>SUM(M6:M10)</f>
        <v>1810</v>
      </c>
      <c r="N11" s="514"/>
      <c r="O11" s="513"/>
      <c r="P11" s="25">
        <f>SUM(P6:P10)</f>
        <v>1800</v>
      </c>
      <c r="Q11"/>
    </row>
    <row r="12" spans="1:22" s="16" customFormat="1" ht="13.8" thickTop="1" x14ac:dyDescent="0.25">
      <c r="A12" s="19">
        <f t="shared" ca="1" si="0"/>
        <v>12</v>
      </c>
      <c r="C12" s="840" t="s">
        <v>6</v>
      </c>
      <c r="D12" s="208"/>
      <c r="E12" s="208"/>
      <c r="F12" s="208"/>
      <c r="G12" s="208"/>
      <c r="H12" s="208"/>
      <c r="I12" s="208"/>
      <c r="J12" s="208"/>
      <c r="K12" s="841"/>
      <c r="L12" s="208"/>
      <c r="M12" s="208"/>
      <c r="N12" s="841"/>
      <c r="O12" s="208"/>
      <c r="P12" s="842"/>
      <c r="Q12"/>
      <c r="R12" s="21"/>
      <c r="S12" s="21"/>
    </row>
    <row r="13" spans="1:22" s="16" customFormat="1" x14ac:dyDescent="0.25">
      <c r="A13" s="19">
        <f t="shared" ca="1" si="0"/>
        <v>13</v>
      </c>
      <c r="C13" s="843" t="s">
        <v>7</v>
      </c>
      <c r="D13" s="294"/>
      <c r="E13" s="294"/>
      <c r="F13" s="294"/>
      <c r="G13" s="294"/>
      <c r="H13" s="294"/>
      <c r="I13" s="294"/>
      <c r="J13" s="814" t="s">
        <v>177</v>
      </c>
      <c r="K13" s="815" t="s">
        <v>178</v>
      </c>
      <c r="L13" s="816" t="str">
        <f>Curr&amp;"/Einh."</f>
        <v>€/Einh.</v>
      </c>
      <c r="M13" s="816" t="str">
        <f>Curr</f>
        <v>€</v>
      </c>
      <c r="N13" s="817" t="str">
        <f>K13</f>
        <v>Umfang</v>
      </c>
      <c r="O13" s="816" t="str">
        <f>Curr&amp;"/Einh."</f>
        <v>€/Einh.</v>
      </c>
      <c r="P13" s="818" t="str">
        <f>Curr</f>
        <v>€</v>
      </c>
      <c r="Q13"/>
      <c r="R13" s="21"/>
      <c r="S13" s="21"/>
    </row>
    <row r="14" spans="1:22" s="16" customFormat="1" x14ac:dyDescent="0.25">
      <c r="A14" s="19">
        <f t="shared" ca="1" si="0"/>
        <v>14</v>
      </c>
      <c r="C14" s="844"/>
      <c r="D14" s="993" t="s">
        <v>243</v>
      </c>
      <c r="E14" s="965"/>
      <c r="F14" s="965"/>
      <c r="G14" s="965"/>
      <c r="H14" s="965"/>
      <c r="I14" s="507"/>
      <c r="J14" s="991" t="s">
        <v>245</v>
      </c>
      <c r="K14" s="845">
        <v>1</v>
      </c>
      <c r="L14" s="826">
        <v>24</v>
      </c>
      <c r="M14" s="846">
        <f>L14*K14</f>
        <v>24</v>
      </c>
      <c r="N14" s="845">
        <v>1</v>
      </c>
      <c r="O14" s="826">
        <v>40</v>
      </c>
      <c r="P14" s="847">
        <f>O14*N14</f>
        <v>40</v>
      </c>
      <c r="Q14"/>
      <c r="R14" s="994"/>
      <c r="S14" s="21"/>
    </row>
    <row r="15" spans="1:22" s="16" customFormat="1" x14ac:dyDescent="0.25">
      <c r="A15" s="19">
        <f t="shared" ca="1" si="0"/>
        <v>15</v>
      </c>
      <c r="C15" s="844"/>
      <c r="D15" s="993" t="s">
        <v>244</v>
      </c>
      <c r="E15" s="965"/>
      <c r="F15" s="965"/>
      <c r="G15" s="965"/>
      <c r="H15" s="965"/>
      <c r="I15" s="507"/>
      <c r="J15" s="991" t="s">
        <v>245</v>
      </c>
      <c r="K15" s="845">
        <v>0.5</v>
      </c>
      <c r="L15" s="826">
        <v>60</v>
      </c>
      <c r="M15" s="846">
        <f>L15*K15</f>
        <v>30</v>
      </c>
      <c r="N15" s="845">
        <v>0.5</v>
      </c>
      <c r="O15" s="826">
        <v>80</v>
      </c>
      <c r="P15" s="847">
        <f>O15*N15</f>
        <v>40</v>
      </c>
      <c r="Q15"/>
      <c r="R15" s="21"/>
      <c r="S15" s="21"/>
    </row>
    <row r="16" spans="1:22" s="16" customFormat="1" x14ac:dyDescent="0.25">
      <c r="A16" s="19">
        <f t="shared" ca="1" si="0"/>
        <v>16</v>
      </c>
      <c r="C16" s="844"/>
      <c r="D16" s="964"/>
      <c r="E16" s="965"/>
      <c r="F16" s="965"/>
      <c r="G16" s="965"/>
      <c r="H16" s="965"/>
      <c r="I16" s="507"/>
      <c r="J16" s="824"/>
      <c r="K16" s="845"/>
      <c r="L16" s="826"/>
      <c r="M16" s="846">
        <f>L16*K16</f>
        <v>0</v>
      </c>
      <c r="N16" s="845"/>
      <c r="O16" s="826"/>
      <c r="P16" s="847">
        <f>O16*N16</f>
        <v>0</v>
      </c>
      <c r="Q16"/>
      <c r="R16" s="21"/>
      <c r="S16" s="21"/>
    </row>
    <row r="17" spans="1:20" s="16" customFormat="1" x14ac:dyDescent="0.25">
      <c r="A17" s="19">
        <f t="shared" ca="1" si="0"/>
        <v>17</v>
      </c>
      <c r="C17" s="848"/>
      <c r="D17" s="849" t="s">
        <v>181</v>
      </c>
      <c r="E17" s="208"/>
      <c r="F17" s="208"/>
      <c r="G17" s="208"/>
      <c r="H17" s="208"/>
      <c r="I17" s="208"/>
      <c r="J17" s="208"/>
      <c r="K17" s="850"/>
      <c r="L17" s="208"/>
      <c r="M17" s="26">
        <f>SUM(M14:M16)</f>
        <v>54</v>
      </c>
      <c r="N17" s="850"/>
      <c r="O17" s="208"/>
      <c r="P17" s="27">
        <f>SUM(P14:P16)</f>
        <v>80</v>
      </c>
      <c r="Q17"/>
      <c r="R17" s="21"/>
      <c r="S17" s="21"/>
    </row>
    <row r="18" spans="1:20" s="16" customFormat="1" x14ac:dyDescent="0.25">
      <c r="A18" s="19">
        <f t="shared" ca="1" si="0"/>
        <v>18</v>
      </c>
      <c r="C18" s="843" t="s">
        <v>10</v>
      </c>
      <c r="D18" s="294"/>
      <c r="E18" s="294"/>
      <c r="F18" s="294"/>
      <c r="G18" s="851" t="s">
        <v>182</v>
      </c>
      <c r="H18" s="985" t="str">
        <f>IF(J5="","","1 "&amp;J5)</f>
        <v>1 0</v>
      </c>
      <c r="I18" s="852" t="s">
        <v>183</v>
      </c>
      <c r="J18" s="852" t="s">
        <v>184</v>
      </c>
      <c r="K18" s="853"/>
      <c r="L18" s="854" t="str">
        <f ca="1">IF($A1=0,""," "&amp;$G19&amp;"  : "&amp;$H19&amp;"   =   1  :")</f>
        <v xml:space="preserve"> dt Korn   : dt Stroh   =   1  :</v>
      </c>
      <c r="M18" s="855">
        <v>0.9</v>
      </c>
      <c r="N18" s="853"/>
      <c r="O18" s="854" t="str">
        <f ca="1">IF($A1=0,""," "&amp;$G19&amp;"  : "&amp;$H19&amp;"   =   1  :")</f>
        <v xml:space="preserve"> dt Korn   : dt Stroh   =   1  :</v>
      </c>
      <c r="P18" s="856">
        <v>0.9</v>
      </c>
      <c r="Q18"/>
      <c r="R18" s="21"/>
      <c r="S18" s="21"/>
      <c r="T18" s="21"/>
    </row>
    <row r="19" spans="1:20" s="16" customFormat="1" x14ac:dyDescent="0.25">
      <c r="A19" s="19">
        <f t="shared" ca="1" si="0"/>
        <v>19</v>
      </c>
      <c r="C19" s="844"/>
      <c r="D19" s="857" t="s">
        <v>185</v>
      </c>
      <c r="E19" s="208"/>
      <c r="F19" s="208"/>
      <c r="G19" s="858" t="s">
        <v>246</v>
      </c>
      <c r="H19" s="858" t="s">
        <v>247</v>
      </c>
      <c r="I19" s="859" t="s">
        <v>187</v>
      </c>
      <c r="J19" s="860" t="s">
        <v>188</v>
      </c>
      <c r="K19" s="861" t="s">
        <v>189</v>
      </c>
      <c r="L19" s="862" t="str">
        <f>Curr&amp;"/"&amp;K19</f>
        <v>€/kg</v>
      </c>
      <c r="M19" s="862" t="str">
        <f>Curr</f>
        <v>€</v>
      </c>
      <c r="N19" s="863" t="str">
        <f>K19</f>
        <v>kg</v>
      </c>
      <c r="O19" s="862" t="str">
        <f>Curr&amp;"/"&amp;N19</f>
        <v>€/kg</v>
      </c>
      <c r="P19" s="864" t="str">
        <f>Curr</f>
        <v>€</v>
      </c>
      <c r="Q19"/>
      <c r="R19" s="21"/>
      <c r="S19" s="21"/>
      <c r="T19" s="28"/>
    </row>
    <row r="20" spans="1:20" s="16" customFormat="1" x14ac:dyDescent="0.25">
      <c r="A20" s="19">
        <f t="shared" ca="1" si="0"/>
        <v>20</v>
      </c>
      <c r="C20" s="844"/>
      <c r="D20" s="865" t="s">
        <v>190</v>
      </c>
      <c r="E20" s="507"/>
      <c r="F20" s="866"/>
      <c r="G20" s="867">
        <v>2.2000000000000002</v>
      </c>
      <c r="H20" s="867">
        <v>0.4</v>
      </c>
      <c r="I20" s="29">
        <v>1.1000000000000001</v>
      </c>
      <c r="J20" s="868">
        <v>0.4</v>
      </c>
      <c r="K20" s="869">
        <f>((($G20*K$5)+($H20*K$5*M$18))*$I20)-($H20*K$5*M$18*$J20)</f>
        <v>227.12000000000003</v>
      </c>
      <c r="L20" s="826">
        <v>1.3</v>
      </c>
      <c r="M20" s="846">
        <f>L20*K20</f>
        <v>295.25600000000003</v>
      </c>
      <c r="N20" s="869">
        <f>((($G20*N$5)+($H20*N$5*P$18))*$I20)-($H20*N$5*P$18*$J20)</f>
        <v>106.88000000000001</v>
      </c>
      <c r="O20" s="826">
        <v>2.5</v>
      </c>
      <c r="P20" s="847">
        <f>O20*N20</f>
        <v>267.20000000000005</v>
      </c>
      <c r="Q20"/>
      <c r="S20" s="21"/>
    </row>
    <row r="21" spans="1:20" s="16" customFormat="1" x14ac:dyDescent="0.25">
      <c r="A21" s="19">
        <f t="shared" ca="1" si="0"/>
        <v>21</v>
      </c>
      <c r="C21" s="844"/>
      <c r="D21" s="870" t="s">
        <v>74</v>
      </c>
      <c r="E21" s="507"/>
      <c r="F21" s="866"/>
      <c r="G21" s="867">
        <v>0.8</v>
      </c>
      <c r="H21" s="867">
        <v>0.5</v>
      </c>
      <c r="I21" s="29">
        <v>1</v>
      </c>
      <c r="J21" s="868">
        <v>1</v>
      </c>
      <c r="K21" s="869">
        <f>((($G21*K$5)+($H21*K$5*M$18))*$I21)-($H21*K$5*M$18*$J21)</f>
        <v>68</v>
      </c>
      <c r="L21" s="826">
        <v>0.57999999999999996</v>
      </c>
      <c r="M21" s="846">
        <f>L21*K21</f>
        <v>39.44</v>
      </c>
      <c r="N21" s="869">
        <f>((($G21*N$5)+($H21*N$5*P$18))*$I21)-($H21*N$5*P$18*$J21)</f>
        <v>32</v>
      </c>
      <c r="O21" s="826">
        <v>0.8</v>
      </c>
      <c r="P21" s="847">
        <f>O21*N21</f>
        <v>25.6</v>
      </c>
      <c r="Q21"/>
      <c r="S21" s="21"/>
    </row>
    <row r="22" spans="1:20" s="16" customFormat="1" x14ac:dyDescent="0.25">
      <c r="A22" s="19">
        <f t="shared" ca="1" si="0"/>
        <v>22</v>
      </c>
      <c r="C22" s="844"/>
      <c r="D22" s="870" t="s">
        <v>75</v>
      </c>
      <c r="E22" s="507"/>
      <c r="F22" s="507"/>
      <c r="G22" s="867">
        <v>0.6</v>
      </c>
      <c r="H22" s="867">
        <v>1.1000000000000001</v>
      </c>
      <c r="I22" s="29">
        <v>1</v>
      </c>
      <c r="J22" s="868">
        <v>1</v>
      </c>
      <c r="K22" s="869">
        <f>((($G22*K$5)+($H22*K$5*M$18))*$I22)-($H22*K$5*M$18*$J22)</f>
        <v>51.000000000000014</v>
      </c>
      <c r="L22" s="826">
        <v>0.7</v>
      </c>
      <c r="M22" s="846">
        <f>L22*K22</f>
        <v>35.70000000000001</v>
      </c>
      <c r="N22" s="869">
        <f>((($G22*N$5)+($H22*N$5*P$18))*$I22)-($H22*N$5*P$18*$J22)</f>
        <v>24</v>
      </c>
      <c r="O22" s="826">
        <v>1</v>
      </c>
      <c r="P22" s="847">
        <f>O22*N22</f>
        <v>24</v>
      </c>
      <c r="Q22"/>
      <c r="S22" s="21"/>
    </row>
    <row r="23" spans="1:20" s="16" customFormat="1" x14ac:dyDescent="0.25">
      <c r="A23" s="19">
        <f t="shared" ca="1" si="0"/>
        <v>23</v>
      </c>
      <c r="C23" s="848"/>
      <c r="D23" s="849" t="s">
        <v>191</v>
      </c>
      <c r="E23" s="208"/>
      <c r="F23" s="208"/>
      <c r="G23" s="208"/>
      <c r="H23" s="208"/>
      <c r="I23" s="208"/>
      <c r="J23" s="871"/>
      <c r="K23" s="850"/>
      <c r="L23" s="208"/>
      <c r="M23" s="26">
        <f>SUM(M20:M22)</f>
        <v>370.39600000000002</v>
      </c>
      <c r="N23" s="850"/>
      <c r="O23" s="208"/>
      <c r="P23" s="27">
        <f>SUM(P20:P22)</f>
        <v>316.80000000000007</v>
      </c>
      <c r="Q23"/>
    </row>
    <row r="24" spans="1:20" s="16" customFormat="1" x14ac:dyDescent="0.25">
      <c r="A24" s="19">
        <f t="shared" ca="1" si="0"/>
        <v>24</v>
      </c>
      <c r="C24" s="843" t="s">
        <v>11</v>
      </c>
      <c r="D24" s="294"/>
      <c r="E24" s="294"/>
      <c r="F24" s="294"/>
      <c r="G24" s="294"/>
      <c r="H24" s="294"/>
      <c r="I24" s="872" t="str">
        <f>"Einh./"&amp;Area</f>
        <v>Einh./ha</v>
      </c>
      <c r="J24" s="873"/>
      <c r="K24" s="861" t="s">
        <v>178</v>
      </c>
      <c r="L24" s="862" t="str">
        <f>Curr&amp;"/Einh."</f>
        <v>€/Einh.</v>
      </c>
      <c r="M24" s="862" t="str">
        <f>Curr</f>
        <v>€</v>
      </c>
      <c r="N24" s="863" t="str">
        <f>K24</f>
        <v>Umfang</v>
      </c>
      <c r="O24" s="862" t="str">
        <f>Curr&amp;"/Einh."</f>
        <v>€/Einh.</v>
      </c>
      <c r="P24" s="864" t="str">
        <f>Curr</f>
        <v>€</v>
      </c>
      <c r="Q24"/>
    </row>
    <row r="25" spans="1:20" x14ac:dyDescent="0.25">
      <c r="A25" s="19">
        <f t="shared" ca="1" si="0"/>
        <v>25</v>
      </c>
      <c r="C25" s="844"/>
      <c r="D25" s="993" t="s">
        <v>248</v>
      </c>
      <c r="E25" s="965"/>
      <c r="F25" s="965"/>
      <c r="G25" s="965"/>
      <c r="H25" s="507"/>
      <c r="I25" s="874">
        <v>1</v>
      </c>
      <c r="J25" s="991" t="s">
        <v>252</v>
      </c>
      <c r="K25" s="875">
        <v>1</v>
      </c>
      <c r="L25" s="826">
        <v>50</v>
      </c>
      <c r="M25" s="846">
        <f t="shared" ref="M25:M31" si="1">L25*K25*$I25</f>
        <v>50</v>
      </c>
      <c r="N25" s="875"/>
      <c r="O25" s="826"/>
      <c r="P25" s="847">
        <f t="shared" ref="P25:P31" si="2">O25*N25*$I25</f>
        <v>0</v>
      </c>
      <c r="Q25"/>
    </row>
    <row r="26" spans="1:20" x14ac:dyDescent="0.25">
      <c r="A26" s="19">
        <f t="shared" ca="1" si="0"/>
        <v>26</v>
      </c>
      <c r="C26" s="844"/>
      <c r="D26" s="993" t="s">
        <v>248</v>
      </c>
      <c r="E26" s="965"/>
      <c r="F26" s="965"/>
      <c r="G26" s="965"/>
      <c r="H26" s="507"/>
      <c r="I26" s="874">
        <v>1</v>
      </c>
      <c r="J26" s="991" t="s">
        <v>252</v>
      </c>
      <c r="K26" s="875">
        <v>0.7</v>
      </c>
      <c r="L26" s="826">
        <v>50</v>
      </c>
      <c r="M26" s="846">
        <f t="shared" si="1"/>
        <v>35</v>
      </c>
      <c r="N26" s="875"/>
      <c r="O26" s="826"/>
      <c r="P26" s="847">
        <f t="shared" si="2"/>
        <v>0</v>
      </c>
      <c r="Q26"/>
    </row>
    <row r="27" spans="1:20" x14ac:dyDescent="0.25">
      <c r="A27" s="19">
        <f t="shared" ca="1" si="0"/>
        <v>27</v>
      </c>
      <c r="C27" s="495"/>
      <c r="D27" s="993" t="s">
        <v>249</v>
      </c>
      <c r="E27" s="965"/>
      <c r="F27" s="965"/>
      <c r="G27" s="965"/>
      <c r="H27" s="503"/>
      <c r="I27" s="874">
        <v>0.3</v>
      </c>
      <c r="J27" s="991" t="s">
        <v>252</v>
      </c>
      <c r="K27" s="875">
        <v>1</v>
      </c>
      <c r="L27" s="826">
        <v>70</v>
      </c>
      <c r="M27" s="827">
        <f t="shared" si="1"/>
        <v>21</v>
      </c>
      <c r="N27" s="875"/>
      <c r="O27" s="826"/>
      <c r="P27" s="828">
        <f t="shared" si="2"/>
        <v>0</v>
      </c>
      <c r="Q27"/>
    </row>
    <row r="28" spans="1:20" x14ac:dyDescent="0.25">
      <c r="A28" s="19">
        <f t="shared" ca="1" si="0"/>
        <v>28</v>
      </c>
      <c r="C28" s="495"/>
      <c r="D28" s="993" t="s">
        <v>250</v>
      </c>
      <c r="E28" s="965"/>
      <c r="F28" s="965"/>
      <c r="G28" s="965"/>
      <c r="H28" s="503"/>
      <c r="I28" s="874">
        <v>1</v>
      </c>
      <c r="J28" s="991" t="s">
        <v>252</v>
      </c>
      <c r="K28" s="876">
        <v>2</v>
      </c>
      <c r="L28" s="826">
        <v>60</v>
      </c>
      <c r="M28" s="827">
        <f t="shared" si="1"/>
        <v>120</v>
      </c>
      <c r="N28" s="876"/>
      <c r="O28" s="826"/>
      <c r="P28" s="828">
        <f t="shared" si="2"/>
        <v>0</v>
      </c>
      <c r="Q28"/>
    </row>
    <row r="29" spans="1:20" x14ac:dyDescent="0.25">
      <c r="A29" s="19">
        <f t="shared" ca="1" si="0"/>
        <v>29</v>
      </c>
      <c r="C29" s="495"/>
      <c r="D29" s="993" t="s">
        <v>251</v>
      </c>
      <c r="E29" s="965"/>
      <c r="F29" s="965"/>
      <c r="G29" s="965"/>
      <c r="H29" s="503"/>
      <c r="I29" s="874">
        <v>0.1</v>
      </c>
      <c r="J29" s="991" t="s">
        <v>252</v>
      </c>
      <c r="K29" s="876">
        <v>0.5</v>
      </c>
      <c r="L29" s="826">
        <v>70</v>
      </c>
      <c r="M29" s="827">
        <f t="shared" si="1"/>
        <v>3.5</v>
      </c>
      <c r="N29" s="876"/>
      <c r="O29" s="826"/>
      <c r="P29" s="828">
        <f t="shared" si="2"/>
        <v>0</v>
      </c>
      <c r="Q29"/>
    </row>
    <row r="30" spans="1:20" x14ac:dyDescent="0.25">
      <c r="A30" s="19">
        <f t="shared" ca="1" si="0"/>
        <v>30</v>
      </c>
      <c r="C30" s="495"/>
      <c r="D30" s="993" t="s">
        <v>253</v>
      </c>
      <c r="E30" s="965"/>
      <c r="F30" s="965"/>
      <c r="G30" s="965"/>
      <c r="H30" s="503"/>
      <c r="I30" s="874">
        <v>1</v>
      </c>
      <c r="J30" s="991" t="s">
        <v>252</v>
      </c>
      <c r="K30" s="876"/>
      <c r="L30" s="826"/>
      <c r="M30" s="827">
        <f t="shared" si="1"/>
        <v>0</v>
      </c>
      <c r="N30" s="876">
        <v>1</v>
      </c>
      <c r="O30" s="826">
        <v>20</v>
      </c>
      <c r="P30" s="828">
        <f t="shared" si="2"/>
        <v>20</v>
      </c>
      <c r="Q30"/>
    </row>
    <row r="31" spans="1:20" x14ac:dyDescent="0.25">
      <c r="A31" s="19">
        <f t="shared" ca="1" si="0"/>
        <v>31</v>
      </c>
      <c r="C31" s="495"/>
      <c r="D31" s="993" t="s">
        <v>254</v>
      </c>
      <c r="E31" s="965"/>
      <c r="F31" s="965"/>
      <c r="G31" s="965"/>
      <c r="H31" s="503"/>
      <c r="I31" s="874">
        <v>1</v>
      </c>
      <c r="J31" s="991" t="s">
        <v>252</v>
      </c>
      <c r="K31" s="876"/>
      <c r="L31" s="826"/>
      <c r="M31" s="827">
        <f t="shared" si="1"/>
        <v>0</v>
      </c>
      <c r="N31" s="876">
        <v>1</v>
      </c>
      <c r="O31" s="826">
        <v>10</v>
      </c>
      <c r="P31" s="828">
        <f t="shared" si="2"/>
        <v>10</v>
      </c>
      <c r="Q31"/>
    </row>
    <row r="32" spans="1:20" x14ac:dyDescent="0.25">
      <c r="A32" s="19">
        <f t="shared" ref="A32:A67" ca="1" si="3">CELL("row",A32)</f>
        <v>32</v>
      </c>
      <c r="C32" s="877"/>
      <c r="D32" s="878" t="s">
        <v>192</v>
      </c>
      <c r="E32" s="501"/>
      <c r="F32" s="501"/>
      <c r="G32" s="501"/>
      <c r="H32" s="501"/>
      <c r="I32" s="501"/>
      <c r="J32" s="501"/>
      <c r="K32" s="879"/>
      <c r="L32" s="501"/>
      <c r="M32" s="30">
        <f>SUM(M25:M31)</f>
        <v>229.5</v>
      </c>
      <c r="N32" s="879"/>
      <c r="O32" s="501"/>
      <c r="P32" s="31">
        <f>SUM(P25:P31)</f>
        <v>30</v>
      </c>
      <c r="Q32"/>
    </row>
    <row r="33" spans="1:17" x14ac:dyDescent="0.25">
      <c r="A33" s="19">
        <f t="shared" ca="1" si="3"/>
        <v>33</v>
      </c>
      <c r="C33" s="812" t="s">
        <v>193</v>
      </c>
      <c r="D33" s="813"/>
      <c r="E33" s="813"/>
      <c r="F33" s="813"/>
      <c r="G33" s="813"/>
      <c r="H33" s="813"/>
      <c r="I33" s="813"/>
      <c r="J33" s="814" t="s">
        <v>177</v>
      </c>
      <c r="K33" s="815" t="s">
        <v>178</v>
      </c>
      <c r="L33" s="816" t="str">
        <f>Curr&amp;"/Einh."</f>
        <v>€/Einh.</v>
      </c>
      <c r="M33" s="816" t="str">
        <f>Curr</f>
        <v>€</v>
      </c>
      <c r="N33" s="817" t="str">
        <f>K33</f>
        <v>Umfang</v>
      </c>
      <c r="O33" s="816" t="str">
        <f>Curr&amp;"/Einh."</f>
        <v>€/Einh.</v>
      </c>
      <c r="P33" s="818" t="str">
        <f>Curr</f>
        <v>€</v>
      </c>
      <c r="Q33"/>
    </row>
    <row r="34" spans="1:17" x14ac:dyDescent="0.25">
      <c r="A34" s="19">
        <f t="shared" ca="1" si="3"/>
        <v>34</v>
      </c>
      <c r="C34" s="495"/>
      <c r="D34" s="993" t="s">
        <v>255</v>
      </c>
      <c r="E34" s="965"/>
      <c r="F34" s="965"/>
      <c r="G34" s="965"/>
      <c r="H34" s="965"/>
      <c r="I34" s="503"/>
      <c r="J34" s="991" t="s">
        <v>170</v>
      </c>
      <c r="K34" s="880">
        <v>1</v>
      </c>
      <c r="L34" s="826">
        <v>140</v>
      </c>
      <c r="M34" s="827">
        <f>L34*K34</f>
        <v>140</v>
      </c>
      <c r="N34" s="1014" t="s">
        <v>256</v>
      </c>
      <c r="O34" s="826">
        <v>140</v>
      </c>
      <c r="P34" s="828">
        <f>O34*N34</f>
        <v>140</v>
      </c>
      <c r="Q34"/>
    </row>
    <row r="35" spans="1:17" x14ac:dyDescent="0.25">
      <c r="A35" s="19">
        <f t="shared" ca="1" si="3"/>
        <v>35</v>
      </c>
      <c r="C35" s="495"/>
      <c r="D35" s="964"/>
      <c r="E35" s="965"/>
      <c r="F35" s="965"/>
      <c r="G35" s="965"/>
      <c r="H35" s="965"/>
      <c r="I35" s="503"/>
      <c r="J35" s="824"/>
      <c r="K35" s="880"/>
      <c r="L35" s="826"/>
      <c r="M35" s="827">
        <f>L35*K35</f>
        <v>0</v>
      </c>
      <c r="N35" s="881"/>
      <c r="O35" s="826"/>
      <c r="P35" s="828">
        <f>O35*N35</f>
        <v>0</v>
      </c>
      <c r="Q35"/>
    </row>
    <row r="36" spans="1:17" x14ac:dyDescent="0.25">
      <c r="A36" s="19">
        <f t="shared" ca="1" si="3"/>
        <v>36</v>
      </c>
      <c r="C36" s="495"/>
      <c r="D36" s="964"/>
      <c r="E36" s="965"/>
      <c r="F36" s="965"/>
      <c r="G36" s="965"/>
      <c r="H36" s="965"/>
      <c r="I36" s="503"/>
      <c r="J36" s="824"/>
      <c r="K36" s="880"/>
      <c r="L36" s="826"/>
      <c r="M36" s="827">
        <f>L36*K36</f>
        <v>0</v>
      </c>
      <c r="N36" s="881"/>
      <c r="O36" s="826"/>
      <c r="P36" s="828">
        <f>O36*N36</f>
        <v>0</v>
      </c>
      <c r="Q36"/>
    </row>
    <row r="37" spans="1:17" x14ac:dyDescent="0.25">
      <c r="A37" s="19">
        <f t="shared" ca="1" si="3"/>
        <v>37</v>
      </c>
      <c r="C37" s="495"/>
      <c r="D37" s="964"/>
      <c r="E37" s="965"/>
      <c r="F37" s="965"/>
      <c r="G37" s="965"/>
      <c r="H37" s="965"/>
      <c r="I37" s="503"/>
      <c r="J37" s="824"/>
      <c r="K37" s="880"/>
      <c r="L37" s="826"/>
      <c r="M37" s="827">
        <f>L37*K37</f>
        <v>0</v>
      </c>
      <c r="N37" s="881"/>
      <c r="O37" s="826"/>
      <c r="P37" s="828">
        <f>O37*N37</f>
        <v>0</v>
      </c>
      <c r="Q37"/>
    </row>
    <row r="38" spans="1:17" x14ac:dyDescent="0.25">
      <c r="A38" s="19">
        <f t="shared" ca="1" si="3"/>
        <v>38</v>
      </c>
      <c r="C38" s="495"/>
      <c r="D38" s="964"/>
      <c r="E38" s="965"/>
      <c r="F38" s="965"/>
      <c r="G38" s="965"/>
      <c r="H38" s="965"/>
      <c r="I38" s="503"/>
      <c r="J38" s="824"/>
      <c r="K38" s="880"/>
      <c r="L38" s="826"/>
      <c r="M38" s="827">
        <f>L38*K38</f>
        <v>0</v>
      </c>
      <c r="N38" s="881"/>
      <c r="O38" s="826"/>
      <c r="P38" s="828">
        <f>O38*N38</f>
        <v>0</v>
      </c>
      <c r="Q38"/>
    </row>
    <row r="39" spans="1:17" x14ac:dyDescent="0.25">
      <c r="A39" s="19">
        <f t="shared" ca="1" si="3"/>
        <v>39</v>
      </c>
      <c r="C39" s="877"/>
      <c r="D39" s="882" t="s">
        <v>194</v>
      </c>
      <c r="E39" s="501"/>
      <c r="F39" s="501"/>
      <c r="G39" s="501"/>
      <c r="H39" s="501"/>
      <c r="I39" s="501"/>
      <c r="J39" s="501"/>
      <c r="K39" s="879"/>
      <c r="L39" s="501"/>
      <c r="M39" s="30">
        <f>SUM(M34:M38)</f>
        <v>140</v>
      </c>
      <c r="N39" s="879"/>
      <c r="O39" s="501"/>
      <c r="P39" s="31">
        <f>SUM(P34:P38)</f>
        <v>140</v>
      </c>
      <c r="Q39"/>
    </row>
    <row r="40" spans="1:17" x14ac:dyDescent="0.25">
      <c r="A40" s="19">
        <f t="shared" ca="1" si="3"/>
        <v>40</v>
      </c>
      <c r="C40" s="883" t="s">
        <v>195</v>
      </c>
      <c r="D40" s="501"/>
      <c r="E40" s="501"/>
      <c r="F40" s="501"/>
      <c r="G40" s="501"/>
      <c r="H40" s="501"/>
      <c r="I40" s="501"/>
      <c r="J40" s="501"/>
      <c r="K40" s="879"/>
      <c r="L40" s="501"/>
      <c r="M40" s="30">
        <f>M67</f>
        <v>193</v>
      </c>
      <c r="N40" s="879"/>
      <c r="O40" s="501"/>
      <c r="P40" s="31">
        <f>P67</f>
        <v>213</v>
      </c>
      <c r="Q40"/>
    </row>
    <row r="41" spans="1:17" x14ac:dyDescent="0.25">
      <c r="A41" s="19">
        <f t="shared" ca="1" si="3"/>
        <v>41</v>
      </c>
      <c r="C41" s="812" t="s">
        <v>196</v>
      </c>
      <c r="D41" s="813"/>
      <c r="E41" s="813"/>
      <c r="F41" s="813"/>
      <c r="G41" s="813"/>
      <c r="H41" s="814" t="s">
        <v>197</v>
      </c>
      <c r="I41" s="501"/>
      <c r="J41" s="501"/>
      <c r="K41" s="815" t="s">
        <v>178</v>
      </c>
      <c r="L41" s="816" t="str">
        <f>Curr&amp;"/Einh."</f>
        <v>€/Einh.</v>
      </c>
      <c r="M41" s="816" t="str">
        <f>Curr</f>
        <v>€</v>
      </c>
      <c r="N41" s="817" t="str">
        <f>K41</f>
        <v>Umfang</v>
      </c>
      <c r="O41" s="816" t="str">
        <f>Curr&amp;"/Einh."</f>
        <v>€/Einh.</v>
      </c>
      <c r="P41" s="818" t="str">
        <f>Curr</f>
        <v>€</v>
      </c>
      <c r="Q41"/>
    </row>
    <row r="42" spans="1:17" x14ac:dyDescent="0.25">
      <c r="A42" s="19">
        <f t="shared" ca="1" si="3"/>
        <v>42</v>
      </c>
      <c r="C42" s="884"/>
      <c r="D42" s="885" t="s">
        <v>198</v>
      </c>
      <c r="E42" s="503"/>
      <c r="F42" s="503"/>
      <c r="G42" s="503"/>
      <c r="H42" s="886">
        <v>0.3</v>
      </c>
      <c r="I42" s="885" t="s">
        <v>199</v>
      </c>
      <c r="J42" s="885" t="str">
        <f ca="1">IF($A1=0,"","("&amp;J5&amp;")")</f>
        <v>(0)</v>
      </c>
      <c r="K42" s="887">
        <f>$H42*K5</f>
        <v>25.5</v>
      </c>
      <c r="L42" s="888">
        <v>1.5</v>
      </c>
      <c r="M42" s="827">
        <f>L42*K42</f>
        <v>38.25</v>
      </c>
      <c r="N42" s="887">
        <f>$H42*N5</f>
        <v>12</v>
      </c>
      <c r="O42" s="888">
        <v>1.5</v>
      </c>
      <c r="P42" s="828">
        <f>O42*N42</f>
        <v>18</v>
      </c>
      <c r="Q42"/>
    </row>
    <row r="43" spans="1:17" x14ac:dyDescent="0.25">
      <c r="A43" s="19">
        <f t="shared" ca="1" si="3"/>
        <v>43</v>
      </c>
      <c r="C43" s="884"/>
      <c r="D43" s="885" t="s">
        <v>98</v>
      </c>
      <c r="E43" s="503"/>
      <c r="F43" s="503"/>
      <c r="G43" s="503"/>
      <c r="H43" s="889" t="s">
        <v>200</v>
      </c>
      <c r="I43" s="503"/>
      <c r="J43" s="503"/>
      <c r="K43" s="890">
        <f>SUM(M5:M8)</f>
        <v>1810</v>
      </c>
      <c r="L43" s="970">
        <v>0.01</v>
      </c>
      <c r="M43" s="827">
        <f>L43*K43</f>
        <v>18.100000000000001</v>
      </c>
      <c r="N43" s="890">
        <f>SUM(P5:P8)</f>
        <v>1550</v>
      </c>
      <c r="O43" s="970">
        <v>0.01</v>
      </c>
      <c r="P43" s="828">
        <f>O43*N43</f>
        <v>15.5</v>
      </c>
      <c r="Q43"/>
    </row>
    <row r="44" spans="1:17" x14ac:dyDescent="0.25">
      <c r="A44" s="19">
        <f t="shared" ca="1" si="3"/>
        <v>44</v>
      </c>
      <c r="C44" s="884"/>
      <c r="D44" s="968"/>
      <c r="E44" s="965"/>
      <c r="F44" s="965"/>
      <c r="G44" s="965"/>
      <c r="H44" s="968"/>
      <c r="I44" s="891"/>
      <c r="J44" s="891"/>
      <c r="K44" s="892"/>
      <c r="L44" s="893"/>
      <c r="M44" s="827">
        <f>L44*K44</f>
        <v>0</v>
      </c>
      <c r="N44" s="892"/>
      <c r="O44" s="893"/>
      <c r="P44" s="828">
        <f>O44*N44</f>
        <v>0</v>
      </c>
      <c r="Q44"/>
    </row>
    <row r="45" spans="1:17" x14ac:dyDescent="0.25">
      <c r="A45" s="19">
        <f t="shared" ca="1" si="3"/>
        <v>45</v>
      </c>
      <c r="C45" s="894"/>
      <c r="D45" s="969"/>
      <c r="E45" s="966"/>
      <c r="F45" s="966"/>
      <c r="G45" s="966"/>
      <c r="H45" s="969"/>
      <c r="I45" s="895"/>
      <c r="J45" s="895"/>
      <c r="K45" s="820"/>
      <c r="L45" s="896"/>
      <c r="M45" s="822">
        <f>L45*K45</f>
        <v>0</v>
      </c>
      <c r="N45" s="820"/>
      <c r="O45" s="896"/>
      <c r="P45" s="823">
        <f>O45*N45</f>
        <v>0</v>
      </c>
      <c r="Q45"/>
    </row>
    <row r="46" spans="1:17" x14ac:dyDescent="0.25">
      <c r="A46" s="19">
        <f t="shared" ca="1" si="3"/>
        <v>46</v>
      </c>
      <c r="C46" s="877"/>
      <c r="D46" s="897" t="s">
        <v>234</v>
      </c>
      <c r="E46" s="501"/>
      <c r="F46" s="501"/>
      <c r="G46" s="501"/>
      <c r="H46" s="501"/>
      <c r="I46" s="501"/>
      <c r="J46" s="501"/>
      <c r="K46" s="879"/>
      <c r="L46" s="501"/>
      <c r="M46" s="30">
        <f>SUM(M42:M45)</f>
        <v>56.35</v>
      </c>
      <c r="N46" s="879"/>
      <c r="O46" s="501"/>
      <c r="P46" s="31">
        <f>SUM(P42:P45)</f>
        <v>33.5</v>
      </c>
      <c r="Q46"/>
    </row>
    <row r="47" spans="1:17" ht="13.8" thickBot="1" x14ac:dyDescent="0.3">
      <c r="A47" s="19">
        <f t="shared" ca="1" si="3"/>
        <v>47</v>
      </c>
      <c r="C47" s="898" t="s">
        <v>201</v>
      </c>
      <c r="D47" s="513"/>
      <c r="E47" s="513"/>
      <c r="F47" s="513"/>
      <c r="G47" s="513"/>
      <c r="H47" s="513"/>
      <c r="I47" s="513"/>
      <c r="J47" s="513"/>
      <c r="K47" s="514"/>
      <c r="L47" s="513"/>
      <c r="M47" s="24">
        <f>SUM(M46,M40,M39,M32,M23,M17)</f>
        <v>1043.2460000000001</v>
      </c>
      <c r="N47" s="514"/>
      <c r="O47" s="513"/>
      <c r="P47" s="25">
        <f>SUM(P46,P40,P39,P32,P23,P17)</f>
        <v>813.30000000000007</v>
      </c>
      <c r="Q47"/>
    </row>
    <row r="48" spans="1:17" ht="14.4" thickTop="1" thickBot="1" x14ac:dyDescent="0.3">
      <c r="A48" s="19">
        <f t="shared" ca="1" si="3"/>
        <v>48</v>
      </c>
      <c r="C48" s="899" t="s">
        <v>158</v>
      </c>
      <c r="D48" s="900"/>
      <c r="E48" s="900"/>
      <c r="F48" s="900"/>
      <c r="G48" s="900"/>
      <c r="H48" s="900"/>
      <c r="I48" s="900"/>
      <c r="J48" s="900"/>
      <c r="K48" s="901"/>
      <c r="L48" s="900"/>
      <c r="M48" s="902">
        <f>M11-M47</f>
        <v>766.75399999999991</v>
      </c>
      <c r="N48" s="901"/>
      <c r="O48" s="900"/>
      <c r="P48" s="903">
        <f>P11-P47</f>
        <v>986.69999999999993</v>
      </c>
      <c r="Q48"/>
    </row>
    <row r="49" spans="1:18" x14ac:dyDescent="0.25">
      <c r="A49" s="19">
        <f t="shared" ca="1" si="3"/>
        <v>49</v>
      </c>
      <c r="C49" s="904" t="s">
        <v>235</v>
      </c>
      <c r="D49" s="905"/>
      <c r="E49" s="905"/>
      <c r="F49" s="905"/>
      <c r="G49" s="905"/>
      <c r="H49" s="905"/>
      <c r="I49" s="905"/>
      <c r="J49" s="905"/>
      <c r="K49" s="906">
        <v>0.6</v>
      </c>
      <c r="L49" s="907" t="s">
        <v>202</v>
      </c>
      <c r="M49" s="908">
        <f>M47*K49</f>
        <v>625.94760000000008</v>
      </c>
      <c r="N49" s="906">
        <v>0.6</v>
      </c>
      <c r="O49" s="907" t="s">
        <v>202</v>
      </c>
      <c r="P49" s="909">
        <f>P47*N49</f>
        <v>487.98</v>
      </c>
      <c r="Q49"/>
    </row>
    <row r="50" spans="1:18" x14ac:dyDescent="0.25">
      <c r="A50" s="19">
        <f t="shared" ca="1" si="3"/>
        <v>50</v>
      </c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/>
    </row>
    <row r="51" spans="1:18" ht="13.8" thickBot="1" x14ac:dyDescent="0.3">
      <c r="A51" s="19">
        <f t="shared" ca="1" si="3"/>
        <v>51</v>
      </c>
      <c r="C51" s="808" t="s">
        <v>103</v>
      </c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/>
    </row>
    <row r="52" spans="1:18" ht="12.75" customHeight="1" x14ac:dyDescent="0.25">
      <c r="A52" s="19">
        <f t="shared" ca="1" si="3"/>
        <v>52</v>
      </c>
      <c r="C52" s="910" t="s">
        <v>177</v>
      </c>
      <c r="D52" s="905"/>
      <c r="E52" s="905"/>
      <c r="F52" s="911" t="s">
        <v>104</v>
      </c>
      <c r="G52" s="905"/>
      <c r="H52" s="905"/>
      <c r="I52" s="912" t="s">
        <v>105</v>
      </c>
      <c r="J52" s="912" t="s">
        <v>236</v>
      </c>
      <c r="K52" s="913" t="s">
        <v>178</v>
      </c>
      <c r="L52" s="914" t="s">
        <v>169</v>
      </c>
      <c r="M52" s="915" t="str">
        <f>"v.K. ("&amp;Curr&amp;")"</f>
        <v>v.K. (€)</v>
      </c>
      <c r="N52" s="913" t="s">
        <v>178</v>
      </c>
      <c r="O52" s="914" t="s">
        <v>169</v>
      </c>
      <c r="P52" s="916" t="str">
        <f>"v.K. ("&amp;Curr&amp;")"</f>
        <v>v.K. (€)</v>
      </c>
      <c r="Q52"/>
    </row>
    <row r="53" spans="1:18" x14ac:dyDescent="0.25">
      <c r="A53" s="19">
        <f t="shared" ca="1" si="3"/>
        <v>53</v>
      </c>
      <c r="C53" s="917" t="s">
        <v>170</v>
      </c>
      <c r="D53" s="918"/>
      <c r="E53" s="918"/>
      <c r="F53" s="919" t="s">
        <v>257</v>
      </c>
      <c r="G53" s="971"/>
      <c r="H53" s="918"/>
      <c r="I53" s="920"/>
      <c r="J53" s="920"/>
      <c r="K53" s="880">
        <v>1</v>
      </c>
      <c r="L53" s="921">
        <v>0.5</v>
      </c>
      <c r="M53" s="922">
        <v>20</v>
      </c>
      <c r="N53" s="880">
        <v>1</v>
      </c>
      <c r="O53" s="921">
        <v>0.5</v>
      </c>
      <c r="P53" s="922">
        <v>20</v>
      </c>
      <c r="Q53"/>
      <c r="R53" s="1015" t="s">
        <v>267</v>
      </c>
    </row>
    <row r="54" spans="1:18" x14ac:dyDescent="0.25">
      <c r="A54" s="19">
        <f t="shared" ca="1" si="3"/>
        <v>54</v>
      </c>
      <c r="C54" s="917" t="s">
        <v>170</v>
      </c>
      <c r="D54" s="918"/>
      <c r="E54" s="918"/>
      <c r="F54" s="919" t="s">
        <v>258</v>
      </c>
      <c r="G54" s="971"/>
      <c r="H54" s="918"/>
      <c r="I54" s="920"/>
      <c r="J54" s="920"/>
      <c r="K54" s="880">
        <v>1</v>
      </c>
      <c r="L54" s="921">
        <v>0.75</v>
      </c>
      <c r="M54" s="922">
        <v>30</v>
      </c>
      <c r="N54" s="880">
        <v>1</v>
      </c>
      <c r="O54" s="921">
        <v>0.75</v>
      </c>
      <c r="P54" s="922">
        <v>30</v>
      </c>
      <c r="Q54"/>
    </row>
    <row r="55" spans="1:18" x14ac:dyDescent="0.25">
      <c r="A55" s="19">
        <f t="shared" ca="1" si="3"/>
        <v>55</v>
      </c>
      <c r="C55" s="917" t="s">
        <v>170</v>
      </c>
      <c r="D55" s="918"/>
      <c r="E55" s="918"/>
      <c r="F55" s="919" t="s">
        <v>259</v>
      </c>
      <c r="G55" s="971"/>
      <c r="H55" s="918"/>
      <c r="I55" s="920"/>
      <c r="J55" s="920"/>
      <c r="K55" s="880">
        <v>1</v>
      </c>
      <c r="L55" s="921">
        <v>1</v>
      </c>
      <c r="M55" s="922">
        <v>30</v>
      </c>
      <c r="N55" s="880">
        <v>1</v>
      </c>
      <c r="O55" s="921">
        <v>1</v>
      </c>
      <c r="P55" s="922">
        <v>30</v>
      </c>
      <c r="Q55"/>
    </row>
    <row r="56" spans="1:18" x14ac:dyDescent="0.25">
      <c r="A56" s="19">
        <f t="shared" ca="1" si="3"/>
        <v>56</v>
      </c>
      <c r="C56" s="917" t="s">
        <v>170</v>
      </c>
      <c r="D56" s="918"/>
      <c r="E56" s="918"/>
      <c r="F56" s="919" t="s">
        <v>11</v>
      </c>
      <c r="G56" s="971"/>
      <c r="H56" s="918"/>
      <c r="I56" s="920"/>
      <c r="J56" s="920"/>
      <c r="K56" s="880">
        <v>1</v>
      </c>
      <c r="L56" s="921">
        <v>0.33</v>
      </c>
      <c r="M56" s="922">
        <v>10</v>
      </c>
      <c r="N56" s="880">
        <v>1</v>
      </c>
      <c r="O56" s="921">
        <v>0.33</v>
      </c>
      <c r="P56" s="922">
        <v>10</v>
      </c>
      <c r="Q56"/>
    </row>
    <row r="57" spans="1:18" x14ac:dyDescent="0.25">
      <c r="A57" s="19">
        <f t="shared" ca="1" si="3"/>
        <v>57</v>
      </c>
      <c r="C57" s="917" t="s">
        <v>170</v>
      </c>
      <c r="D57" s="918"/>
      <c r="E57" s="918"/>
      <c r="F57" s="919" t="s">
        <v>260</v>
      </c>
      <c r="G57" s="971"/>
      <c r="H57" s="918"/>
      <c r="I57" s="920"/>
      <c r="J57" s="920"/>
      <c r="K57" s="880">
        <v>1</v>
      </c>
      <c r="L57" s="921">
        <v>0.25</v>
      </c>
      <c r="M57" s="922">
        <v>8</v>
      </c>
      <c r="N57" s="880">
        <v>1</v>
      </c>
      <c r="O57" s="921">
        <v>0.25</v>
      </c>
      <c r="P57" s="922">
        <v>8</v>
      </c>
      <c r="Q57"/>
    </row>
    <row r="58" spans="1:18" x14ac:dyDescent="0.25">
      <c r="A58" s="19">
        <f t="shared" ca="1" si="3"/>
        <v>58</v>
      </c>
      <c r="C58" s="917" t="s">
        <v>261</v>
      </c>
      <c r="D58" s="918"/>
      <c r="E58" s="918"/>
      <c r="F58" s="919" t="s">
        <v>11</v>
      </c>
      <c r="G58" s="971"/>
      <c r="H58" s="918"/>
      <c r="I58" s="920"/>
      <c r="J58" s="920"/>
      <c r="K58" s="880">
        <v>1</v>
      </c>
      <c r="L58" s="921">
        <v>0.33</v>
      </c>
      <c r="M58" s="922">
        <v>10</v>
      </c>
      <c r="N58" s="880">
        <v>1</v>
      </c>
      <c r="O58" s="921">
        <v>0.33</v>
      </c>
      <c r="P58" s="922">
        <v>10</v>
      </c>
      <c r="Q58"/>
    </row>
    <row r="59" spans="1:18" ht="12.75" customHeight="1" x14ac:dyDescent="0.25">
      <c r="A59" s="19">
        <f t="shared" ca="1" si="3"/>
        <v>59</v>
      </c>
      <c r="C59" s="917" t="s">
        <v>170</v>
      </c>
      <c r="D59" s="918"/>
      <c r="E59" s="918"/>
      <c r="F59" s="919" t="s">
        <v>260</v>
      </c>
      <c r="G59" s="971"/>
      <c r="H59" s="918"/>
      <c r="I59" s="920"/>
      <c r="J59" s="920"/>
      <c r="K59" s="880">
        <v>1</v>
      </c>
      <c r="L59" s="921">
        <v>0.25</v>
      </c>
      <c r="M59" s="922">
        <v>8</v>
      </c>
      <c r="N59" s="880">
        <v>1</v>
      </c>
      <c r="O59" s="921">
        <v>0.25</v>
      </c>
      <c r="P59" s="922">
        <v>8</v>
      </c>
      <c r="Q59"/>
    </row>
    <row r="60" spans="1:18" ht="12.75" customHeight="1" x14ac:dyDescent="0.25">
      <c r="A60" s="19"/>
      <c r="C60" s="917" t="s">
        <v>261</v>
      </c>
      <c r="D60" s="918"/>
      <c r="E60" s="918"/>
      <c r="F60" s="919" t="s">
        <v>268</v>
      </c>
      <c r="G60" s="971"/>
      <c r="H60" s="918"/>
      <c r="I60" s="920"/>
      <c r="J60" s="920"/>
      <c r="K60" s="880"/>
      <c r="L60" s="921"/>
      <c r="M60" s="922"/>
      <c r="N60" s="880">
        <v>4</v>
      </c>
      <c r="O60" s="921">
        <v>2</v>
      </c>
      <c r="P60" s="922">
        <v>40</v>
      </c>
      <c r="Q60"/>
    </row>
    <row r="61" spans="1:18" x14ac:dyDescent="0.25">
      <c r="A61" s="19">
        <f t="shared" ca="1" si="3"/>
        <v>61</v>
      </c>
      <c r="C61" s="917" t="s">
        <v>170</v>
      </c>
      <c r="D61" s="918"/>
      <c r="E61" s="918"/>
      <c r="F61" s="919" t="s">
        <v>11</v>
      </c>
      <c r="G61" s="971"/>
      <c r="H61" s="918"/>
      <c r="I61" s="920"/>
      <c r="J61" s="920"/>
      <c r="K61" s="880">
        <v>1</v>
      </c>
      <c r="L61" s="921">
        <v>0.33</v>
      </c>
      <c r="M61" s="922">
        <v>10</v>
      </c>
      <c r="N61" s="880">
        <v>1</v>
      </c>
      <c r="O61" s="921">
        <v>0.33</v>
      </c>
      <c r="P61" s="922">
        <v>10</v>
      </c>
      <c r="Q61"/>
    </row>
    <row r="62" spans="1:18" x14ac:dyDescent="0.25">
      <c r="A62" s="19">
        <f t="shared" ca="1" si="3"/>
        <v>62</v>
      </c>
      <c r="C62" s="917" t="s">
        <v>170</v>
      </c>
      <c r="D62" s="918"/>
      <c r="E62" s="918"/>
      <c r="F62" s="919" t="s">
        <v>260</v>
      </c>
      <c r="G62" s="971"/>
      <c r="H62" s="918"/>
      <c r="I62" s="920"/>
      <c r="J62" s="920"/>
      <c r="K62" s="880">
        <v>1</v>
      </c>
      <c r="L62" s="921">
        <v>0.25</v>
      </c>
      <c r="M62" s="922">
        <v>8</v>
      </c>
      <c r="N62" s="880">
        <v>1</v>
      </c>
      <c r="O62" s="921">
        <v>0.25</v>
      </c>
      <c r="P62" s="922">
        <v>8</v>
      </c>
      <c r="Q62"/>
    </row>
    <row r="63" spans="1:18" x14ac:dyDescent="0.25">
      <c r="A63" s="19">
        <f t="shared" ca="1" si="3"/>
        <v>63</v>
      </c>
      <c r="C63" s="917" t="s">
        <v>170</v>
      </c>
      <c r="D63" s="918"/>
      <c r="E63" s="918"/>
      <c r="F63" s="919" t="s">
        <v>262</v>
      </c>
      <c r="G63" s="971"/>
      <c r="H63" s="918"/>
      <c r="I63" s="920"/>
      <c r="J63" s="920"/>
      <c r="K63" s="880">
        <v>0.9</v>
      </c>
      <c r="L63" s="921">
        <f>0.9*0.33</f>
        <v>0.29700000000000004</v>
      </c>
      <c r="M63" s="922">
        <f>0.9*10</f>
        <v>9</v>
      </c>
      <c r="N63" s="880">
        <v>0.9</v>
      </c>
      <c r="O63" s="921">
        <v>0.29700000000000004</v>
      </c>
      <c r="P63" s="922">
        <f>0.9*10</f>
        <v>9</v>
      </c>
      <c r="Q63"/>
    </row>
    <row r="64" spans="1:18" x14ac:dyDescent="0.25">
      <c r="A64" s="19">
        <f t="shared" ca="1" si="3"/>
        <v>64</v>
      </c>
      <c r="C64" s="917" t="s">
        <v>263</v>
      </c>
      <c r="D64" s="918"/>
      <c r="E64" s="918"/>
      <c r="F64" s="919" t="s">
        <v>264</v>
      </c>
      <c r="G64" s="971"/>
      <c r="H64" s="918"/>
      <c r="I64" s="920"/>
      <c r="J64" s="920"/>
      <c r="K64" s="880">
        <v>8.5</v>
      </c>
      <c r="L64" s="921">
        <v>1</v>
      </c>
      <c r="M64" s="922">
        <v>30</v>
      </c>
      <c r="N64" s="880">
        <v>4</v>
      </c>
      <c r="O64" s="921">
        <v>1</v>
      </c>
      <c r="P64" s="922">
        <v>20</v>
      </c>
      <c r="Q64"/>
    </row>
    <row r="65" spans="1:17" x14ac:dyDescent="0.25">
      <c r="A65" s="19">
        <f t="shared" ca="1" si="3"/>
        <v>65</v>
      </c>
      <c r="C65" s="917" t="s">
        <v>263</v>
      </c>
      <c r="D65" s="918"/>
      <c r="E65" s="918"/>
      <c r="F65" s="919" t="s">
        <v>265</v>
      </c>
      <c r="G65" s="971"/>
      <c r="H65" s="918"/>
      <c r="I65" s="920"/>
      <c r="J65" s="920"/>
      <c r="K65" s="880">
        <v>8.5</v>
      </c>
      <c r="L65" s="921">
        <v>0.33</v>
      </c>
      <c r="M65" s="922">
        <v>10</v>
      </c>
      <c r="N65" s="880">
        <v>4</v>
      </c>
      <c r="O65" s="921">
        <v>0.33</v>
      </c>
      <c r="P65" s="922">
        <v>5</v>
      </c>
      <c r="Q65"/>
    </row>
    <row r="66" spans="1:17" x14ac:dyDescent="0.25">
      <c r="A66" s="19">
        <f t="shared" ca="1" si="3"/>
        <v>66</v>
      </c>
      <c r="C66" s="923" t="s">
        <v>263</v>
      </c>
      <c r="D66" s="924"/>
      <c r="E66" s="924"/>
      <c r="F66" s="925" t="s">
        <v>266</v>
      </c>
      <c r="G66" s="972"/>
      <c r="H66" s="924"/>
      <c r="I66" s="926"/>
      <c r="J66" s="926"/>
      <c r="K66" s="927">
        <v>8.5</v>
      </c>
      <c r="L66" s="928">
        <v>0.33</v>
      </c>
      <c r="M66" s="929">
        <v>10</v>
      </c>
      <c r="N66" s="927">
        <v>4</v>
      </c>
      <c r="O66" s="928">
        <v>0.33</v>
      </c>
      <c r="P66" s="929">
        <v>5</v>
      </c>
    </row>
    <row r="67" spans="1:17" ht="13.8" thickBot="1" x14ac:dyDescent="0.3">
      <c r="A67" s="19">
        <f t="shared" ca="1" si="3"/>
        <v>67</v>
      </c>
      <c r="C67" s="930"/>
      <c r="D67" s="931" t="s">
        <v>101</v>
      </c>
      <c r="E67" s="932"/>
      <c r="F67" s="932"/>
      <c r="G67" s="932"/>
      <c r="H67" s="932"/>
      <c r="I67" s="932"/>
      <c r="J67" s="932"/>
      <c r="K67" s="933" t="s">
        <v>12</v>
      </c>
      <c r="L67" s="32">
        <f>SUM(L53:L66)</f>
        <v>5.9470000000000001</v>
      </c>
      <c r="M67" s="33">
        <f>SUM(M53:M66)</f>
        <v>193</v>
      </c>
      <c r="N67" s="933" t="s">
        <v>12</v>
      </c>
      <c r="O67" s="32">
        <f>SUM(O53:O66)</f>
        <v>7.9470000000000001</v>
      </c>
      <c r="P67" s="34">
        <f>SUM(P53:P66)</f>
        <v>213</v>
      </c>
    </row>
    <row r="68" spans="1:17" x14ac:dyDescent="0.25">
      <c r="C68" s="20"/>
    </row>
    <row r="69" spans="1:17" x14ac:dyDescent="0.25">
      <c r="C69" s="20"/>
    </row>
    <row r="70" spans="1:17" x14ac:dyDescent="0.25">
      <c r="C70" s="20"/>
    </row>
    <row r="71" spans="1:17" x14ac:dyDescent="0.25">
      <c r="C71" s="20"/>
    </row>
    <row r="72" spans="1:17" x14ac:dyDescent="0.25">
      <c r="C72" s="20"/>
    </row>
    <row r="73" spans="1:17" x14ac:dyDescent="0.25">
      <c r="C73" s="20"/>
    </row>
    <row r="74" spans="1:17" x14ac:dyDescent="0.25">
      <c r="C74" s="20"/>
    </row>
    <row r="75" spans="1:17" x14ac:dyDescent="0.25">
      <c r="C75" s="20"/>
    </row>
    <row r="76" spans="1:17" x14ac:dyDescent="0.25">
      <c r="C76" s="20"/>
    </row>
    <row r="77" spans="1:17" x14ac:dyDescent="0.25">
      <c r="C77" s="20"/>
    </row>
    <row r="78" spans="1:17" x14ac:dyDescent="0.25">
      <c r="C78" s="20"/>
    </row>
    <row r="79" spans="1:17" x14ac:dyDescent="0.25">
      <c r="C79" s="20"/>
    </row>
    <row r="80" spans="1:17" x14ac:dyDescent="0.25">
      <c r="C80" s="20"/>
    </row>
    <row r="81" spans="3:3" x14ac:dyDescent="0.25">
      <c r="C81" s="20"/>
    </row>
    <row r="82" spans="3:3" x14ac:dyDescent="0.25">
      <c r="C82" s="20"/>
    </row>
    <row r="83" spans="3:3" x14ac:dyDescent="0.25">
      <c r="C83" s="20"/>
    </row>
    <row r="84" spans="3:3" x14ac:dyDescent="0.25">
      <c r="C84" s="20"/>
    </row>
    <row r="85" spans="3:3" x14ac:dyDescent="0.25">
      <c r="C85" s="20"/>
    </row>
    <row r="86" spans="3:3" x14ac:dyDescent="0.25">
      <c r="C86" s="20"/>
    </row>
    <row r="87" spans="3:3" x14ac:dyDescent="0.25">
      <c r="C87" s="20"/>
    </row>
    <row r="88" spans="3:3" x14ac:dyDescent="0.25">
      <c r="C88" s="20"/>
    </row>
    <row r="89" spans="3:3" x14ac:dyDescent="0.25">
      <c r="C89" s="20"/>
    </row>
    <row r="90" spans="3:3" x14ac:dyDescent="0.25">
      <c r="C90" s="20"/>
    </row>
    <row r="91" spans="3:3" x14ac:dyDescent="0.25">
      <c r="C91" s="20"/>
    </row>
    <row r="92" spans="3:3" x14ac:dyDescent="0.25">
      <c r="C92" s="20"/>
    </row>
    <row r="93" spans="3:3" x14ac:dyDescent="0.25">
      <c r="C93" s="20"/>
    </row>
    <row r="94" spans="3:3" x14ac:dyDescent="0.25">
      <c r="C94" s="20"/>
    </row>
    <row r="95" spans="3:3" x14ac:dyDescent="0.25">
      <c r="C95" s="20"/>
    </row>
    <row r="96" spans="3:3" x14ac:dyDescent="0.25">
      <c r="C96" s="20"/>
    </row>
    <row r="97" spans="3:3" x14ac:dyDescent="0.25">
      <c r="C97" s="20"/>
    </row>
    <row r="98" spans="3:3" x14ac:dyDescent="0.25">
      <c r="C98" s="20"/>
    </row>
    <row r="99" spans="3:3" x14ac:dyDescent="0.25">
      <c r="C99" s="20"/>
    </row>
    <row r="100" spans="3:3" x14ac:dyDescent="0.25">
      <c r="C100" s="20"/>
    </row>
    <row r="101" spans="3:3" x14ac:dyDescent="0.25">
      <c r="C101" s="20"/>
    </row>
    <row r="102" spans="3:3" x14ac:dyDescent="0.25">
      <c r="C102" s="20"/>
    </row>
    <row r="103" spans="3:3" x14ac:dyDescent="0.25">
      <c r="C103" s="20"/>
    </row>
    <row r="104" spans="3:3" x14ac:dyDescent="0.25">
      <c r="C104" s="20"/>
    </row>
  </sheetData>
  <mergeCells count="2">
    <mergeCell ref="K3:M3"/>
    <mergeCell ref="N3:P3"/>
  </mergeCells>
  <phoneticPr fontId="12" type="noConversion"/>
  <pageMargins left="0.78740157480314965" right="0.78740157480314965" top="0.78740157480314965" bottom="0.78740157480314965" header="0.51181102362204722" footer="0.51181102362204722"/>
  <pageSetup paperSize="9" scale="87" orientation="portrait" blackAndWhite="1" horizontalDpi="300" verticalDpi="300" r:id="rId1"/>
  <headerFooter alignWithMargins="0">
    <oddFooter>&amp;L&amp;8Marktfruchtbau&amp;R&amp;P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5"/>
  <dimension ref="A1:W212"/>
  <sheetViews>
    <sheetView showGridLines="0" workbookViewId="0">
      <selection activeCell="J46" sqref="J46"/>
    </sheetView>
  </sheetViews>
  <sheetFormatPr baseColWidth="10" defaultRowHeight="13.2" x14ac:dyDescent="0.25"/>
  <cols>
    <col min="1" max="1" width="2.88671875" customWidth="1"/>
    <col min="2" max="2" width="1.5546875" customWidth="1"/>
    <col min="3" max="3" width="3.5546875" customWidth="1"/>
    <col min="4" max="4" width="1.5546875" customWidth="1"/>
    <col min="5" max="5" width="8.5546875" customWidth="1"/>
    <col min="6" max="6" width="8" customWidth="1"/>
    <col min="7" max="7" width="2.109375" bestFit="1" customWidth="1"/>
    <col min="8" max="8" width="8" customWidth="1"/>
    <col min="9" max="9" width="2.109375" bestFit="1" customWidth="1"/>
    <col min="10" max="10" width="8" customWidth="1"/>
    <col min="11" max="11" width="2.109375" bestFit="1" customWidth="1"/>
    <col min="12" max="12" width="8" customWidth="1"/>
    <col min="13" max="13" width="2.109375" bestFit="1" customWidth="1"/>
    <col min="14" max="14" width="8" customWidth="1"/>
    <col min="15" max="15" width="2.109375" bestFit="1" customWidth="1"/>
    <col min="16" max="16" width="8.109375" customWidth="1"/>
    <col min="17" max="17" width="2.109375" bestFit="1" customWidth="1"/>
    <col min="18" max="18" width="8.109375" customWidth="1"/>
    <col min="19" max="19" width="5.88671875" customWidth="1"/>
    <col min="20" max="23" width="9.44140625" customWidth="1"/>
  </cols>
  <sheetData>
    <row r="1" spans="1:23" ht="15.6" x14ac:dyDescent="0.3">
      <c r="A1" s="19">
        <f t="shared" ref="A1:A32" ca="1" si="0">CELL("row",A1)</f>
        <v>1</v>
      </c>
      <c r="B1" s="20"/>
      <c r="C1" s="939" t="s">
        <v>95</v>
      </c>
      <c r="O1" s="939"/>
      <c r="V1" s="755" t="str">
        <f>'F2 Gewinn'!$O$1</f>
        <v>Weizen 85 dt,</v>
      </c>
      <c r="W1" s="755" t="str">
        <f>"1 "&amp;Unit</f>
        <v>1 ha</v>
      </c>
    </row>
    <row r="2" spans="1:23" x14ac:dyDescent="0.25">
      <c r="A2" s="19">
        <f t="shared" ca="1" si="0"/>
        <v>2</v>
      </c>
      <c r="B2" s="20"/>
    </row>
    <row r="3" spans="1:23" x14ac:dyDescent="0.25">
      <c r="A3" s="19">
        <f t="shared" ca="1" si="0"/>
        <v>3</v>
      </c>
      <c r="B3" s="940"/>
    </row>
    <row r="4" spans="1:23" x14ac:dyDescent="0.25">
      <c r="A4" s="19">
        <f t="shared" ca="1" si="0"/>
        <v>4</v>
      </c>
      <c r="B4" s="940"/>
      <c r="F4" s="941" t="s">
        <v>76</v>
      </c>
      <c r="G4" s="999" t="s">
        <v>13</v>
      </c>
      <c r="H4" s="941" t="s">
        <v>199</v>
      </c>
      <c r="I4" s="999" t="s">
        <v>9</v>
      </c>
      <c r="J4" s="941" t="s">
        <v>77</v>
      </c>
      <c r="K4" s="999" t="s">
        <v>13</v>
      </c>
      <c r="L4" s="941" t="s">
        <v>78</v>
      </c>
      <c r="M4" s="999" t="s">
        <v>9</v>
      </c>
      <c r="N4" s="941" t="s">
        <v>79</v>
      </c>
      <c r="O4" s="999" t="s">
        <v>159</v>
      </c>
      <c r="P4" s="942" t="s">
        <v>80</v>
      </c>
      <c r="Q4" s="943"/>
      <c r="R4" s="935"/>
    </row>
    <row r="5" spans="1:23" x14ac:dyDescent="0.25">
      <c r="A5" s="19">
        <f t="shared" ca="1" si="0"/>
        <v>5</v>
      </c>
      <c r="B5" s="940"/>
      <c r="F5" s="944" t="s">
        <v>81</v>
      </c>
      <c r="G5" s="999"/>
      <c r="H5" s="944" t="s">
        <v>99</v>
      </c>
      <c r="I5" s="999"/>
      <c r="J5" s="945" t="s">
        <v>82</v>
      </c>
      <c r="K5" s="999"/>
      <c r="L5" s="944" t="s">
        <v>83</v>
      </c>
      <c r="M5" s="999"/>
      <c r="N5" s="945" t="s">
        <v>82</v>
      </c>
      <c r="O5" s="999"/>
      <c r="P5" s="946" t="s">
        <v>84</v>
      </c>
      <c r="Q5" s="947"/>
      <c r="R5" s="936"/>
    </row>
    <row r="6" spans="1:23" x14ac:dyDescent="0.25">
      <c r="A6" s="19">
        <f t="shared" ca="1" si="0"/>
        <v>6</v>
      </c>
      <c r="B6" s="940"/>
      <c r="F6" s="948"/>
      <c r="G6" s="949"/>
      <c r="H6" s="948"/>
      <c r="I6" s="949"/>
      <c r="J6" s="950"/>
      <c r="K6" s="949"/>
      <c r="L6" s="948"/>
      <c r="M6" s="949"/>
      <c r="N6" s="950"/>
      <c r="P6" s="951" t="s">
        <v>77</v>
      </c>
      <c r="Q6" s="999" t="s">
        <v>13</v>
      </c>
      <c r="R6" s="951" t="s">
        <v>85</v>
      </c>
    </row>
    <row r="7" spans="1:23" x14ac:dyDescent="0.25">
      <c r="A7" s="19">
        <f t="shared" ca="1" si="0"/>
        <v>7</v>
      </c>
      <c r="B7" s="940"/>
      <c r="P7" s="945" t="s">
        <v>82</v>
      </c>
      <c r="Q7" s="999"/>
      <c r="R7" s="944" t="s">
        <v>86</v>
      </c>
    </row>
    <row r="8" spans="1:23" ht="15" x14ac:dyDescent="0.25">
      <c r="A8" s="19">
        <f t="shared" ca="1" si="0"/>
        <v>8</v>
      </c>
      <c r="B8" s="952"/>
      <c r="C8" s="1000" t="s">
        <v>190</v>
      </c>
      <c r="E8" t="s">
        <v>186</v>
      </c>
      <c r="F8" s="953">
        <f>'F1 DB'!G20</f>
        <v>2.2000000000000002</v>
      </c>
      <c r="G8" s="35" t="s">
        <v>13</v>
      </c>
      <c r="H8" s="953">
        <f>IF(pvVar=2,'F1 DB'!N5,'F1 DB'!K5)</f>
        <v>85</v>
      </c>
      <c r="I8" s="35" t="s">
        <v>9</v>
      </c>
      <c r="J8" s="954">
        <f>F8*H8</f>
        <v>187.00000000000003</v>
      </c>
      <c r="K8" s="35" t="s">
        <v>13</v>
      </c>
      <c r="L8" s="955">
        <f>'F1 DB'!I20</f>
        <v>1.1000000000000001</v>
      </c>
      <c r="M8" s="35" t="s">
        <v>9</v>
      </c>
      <c r="N8" s="954">
        <f>J8*L8</f>
        <v>205.70000000000005</v>
      </c>
      <c r="O8" s="937"/>
      <c r="P8" s="937"/>
      <c r="Q8" s="937"/>
      <c r="U8" s="650"/>
      <c r="V8" s="650"/>
      <c r="W8" s="650"/>
    </row>
    <row r="9" spans="1:23" ht="15" x14ac:dyDescent="0.25">
      <c r="A9" s="19">
        <f t="shared" ca="1" si="0"/>
        <v>9</v>
      </c>
      <c r="B9" s="952"/>
      <c r="C9" s="1001"/>
      <c r="E9" s="938" t="s">
        <v>87</v>
      </c>
      <c r="F9" s="956">
        <f>'F1 DB'!H20</f>
        <v>0.4</v>
      </c>
      <c r="G9" s="35" t="s">
        <v>13</v>
      </c>
      <c r="H9" s="956">
        <f>H8*$F$32</f>
        <v>76.5</v>
      </c>
      <c r="I9" s="35" t="s">
        <v>9</v>
      </c>
      <c r="J9" s="957">
        <f>F9*H9</f>
        <v>30.6</v>
      </c>
      <c r="K9" s="35" t="s">
        <v>13</v>
      </c>
      <c r="L9" s="958">
        <f>L8</f>
        <v>1.1000000000000001</v>
      </c>
      <c r="M9" s="35" t="s">
        <v>9</v>
      </c>
      <c r="N9" s="957">
        <f>J9*L9</f>
        <v>33.660000000000004</v>
      </c>
      <c r="O9" s="937"/>
      <c r="P9" s="937"/>
      <c r="Q9" s="937"/>
      <c r="U9" s="650"/>
      <c r="V9" s="650"/>
      <c r="W9" s="650"/>
    </row>
    <row r="10" spans="1:23" ht="15" x14ac:dyDescent="0.25">
      <c r="A10" s="19">
        <f t="shared" ca="1" si="0"/>
        <v>10</v>
      </c>
      <c r="B10" s="952"/>
      <c r="C10" s="1001"/>
      <c r="E10" s="938" t="s">
        <v>88</v>
      </c>
      <c r="F10" s="937"/>
      <c r="H10" s="937"/>
      <c r="I10" s="937"/>
      <c r="J10" s="937"/>
      <c r="L10" s="937"/>
      <c r="M10" s="35" t="s">
        <v>9</v>
      </c>
      <c r="N10" s="959">
        <f>N8+N9</f>
        <v>239.36000000000004</v>
      </c>
      <c r="O10" s="937"/>
      <c r="P10" s="937"/>
      <c r="Q10" s="937"/>
      <c r="U10" s="650"/>
      <c r="V10" s="650"/>
      <c r="W10" s="650"/>
    </row>
    <row r="11" spans="1:23" ht="6.75" customHeight="1" x14ac:dyDescent="0.25">
      <c r="A11" s="960">
        <f t="shared" ca="1" si="0"/>
        <v>11</v>
      </c>
      <c r="B11" s="952"/>
      <c r="C11" s="1001"/>
      <c r="E11" s="938"/>
      <c r="F11" s="937"/>
      <c r="H11" s="937"/>
      <c r="I11" s="937"/>
      <c r="J11" s="937"/>
      <c r="L11" s="937"/>
      <c r="M11" s="937"/>
      <c r="N11" s="961"/>
      <c r="O11" s="937"/>
      <c r="P11" s="937"/>
      <c r="Q11" s="937"/>
      <c r="U11" s="650"/>
      <c r="V11" s="650"/>
      <c r="W11" s="650"/>
    </row>
    <row r="12" spans="1:23" ht="15" x14ac:dyDescent="0.25">
      <c r="A12" s="19">
        <f t="shared" ca="1" si="0"/>
        <v>12</v>
      </c>
      <c r="B12" s="952"/>
      <c r="C12" s="1001"/>
      <c r="E12" s="938" t="s">
        <v>89</v>
      </c>
      <c r="F12" s="937"/>
      <c r="G12" s="937"/>
      <c r="H12" s="937"/>
      <c r="I12" s="937"/>
      <c r="J12" s="937"/>
      <c r="K12" s="937"/>
      <c r="L12" s="937"/>
      <c r="M12" s="35" t="s">
        <v>159</v>
      </c>
      <c r="N12" s="954">
        <f>P12*R12</f>
        <v>12.240000000000002</v>
      </c>
      <c r="O12" s="35" t="s">
        <v>9</v>
      </c>
      <c r="P12" s="959">
        <f>J9</f>
        <v>30.6</v>
      </c>
      <c r="Q12" s="35" t="s">
        <v>13</v>
      </c>
      <c r="R12" s="962">
        <f>'F1 DB'!J20</f>
        <v>0.4</v>
      </c>
      <c r="U12" s="650"/>
      <c r="V12" s="650"/>
      <c r="W12" s="650"/>
    </row>
    <row r="13" spans="1:23" ht="15" x14ac:dyDescent="0.25">
      <c r="A13" s="19">
        <f t="shared" ca="1" si="0"/>
        <v>13</v>
      </c>
      <c r="B13" s="952"/>
      <c r="C13" s="1002"/>
      <c r="E13" s="938" t="s">
        <v>90</v>
      </c>
      <c r="F13" s="937"/>
      <c r="G13" s="937"/>
      <c r="H13" s="937"/>
      <c r="I13" s="937"/>
      <c r="J13" s="937"/>
      <c r="K13" s="937"/>
      <c r="L13" s="937"/>
      <c r="M13" s="35" t="s">
        <v>9</v>
      </c>
      <c r="N13" s="957">
        <f>N10-N12</f>
        <v>227.12000000000003</v>
      </c>
      <c r="O13" s="937"/>
      <c r="P13" s="937"/>
      <c r="Q13" s="937"/>
      <c r="U13" s="650"/>
      <c r="V13" s="650"/>
      <c r="W13" s="650"/>
    </row>
    <row r="14" spans="1:23" ht="15" x14ac:dyDescent="0.25">
      <c r="A14" s="19">
        <f t="shared" ca="1" si="0"/>
        <v>14</v>
      </c>
      <c r="B14" s="952"/>
      <c r="T14" s="650"/>
      <c r="U14" s="650"/>
      <c r="V14" s="650"/>
      <c r="W14" s="650"/>
    </row>
    <row r="15" spans="1:23" ht="15" x14ac:dyDescent="0.25">
      <c r="A15" s="19">
        <f t="shared" ca="1" si="0"/>
        <v>15</v>
      </c>
      <c r="B15" s="952"/>
      <c r="T15" s="650"/>
      <c r="U15" s="650"/>
      <c r="V15" s="650"/>
      <c r="W15" s="650"/>
    </row>
    <row r="16" spans="1:23" ht="15" x14ac:dyDescent="0.25">
      <c r="A16" s="19">
        <f t="shared" ca="1" si="0"/>
        <v>16</v>
      </c>
      <c r="B16" s="952"/>
      <c r="C16" s="1003" t="s">
        <v>93</v>
      </c>
      <c r="E16" t="str">
        <f>E8</f>
        <v>Korn</v>
      </c>
      <c r="F16" s="953">
        <f>'F1 DB'!G21</f>
        <v>0.8</v>
      </c>
      <c r="G16" s="35" t="s">
        <v>13</v>
      </c>
      <c r="H16" s="953">
        <f>H8</f>
        <v>85</v>
      </c>
      <c r="I16" s="35" t="s">
        <v>9</v>
      </c>
      <c r="J16" s="954">
        <f>F16*H16</f>
        <v>68</v>
      </c>
      <c r="K16" s="35" t="s">
        <v>13</v>
      </c>
      <c r="L16" s="955">
        <f>'F1 DB'!I21</f>
        <v>1</v>
      </c>
      <c r="M16" s="35" t="s">
        <v>9</v>
      </c>
      <c r="N16" s="954">
        <f>J16*L16</f>
        <v>68</v>
      </c>
      <c r="O16" s="937"/>
      <c r="P16" s="937"/>
      <c r="Q16" s="937"/>
      <c r="T16" s="650"/>
      <c r="U16" s="650"/>
      <c r="V16" s="650"/>
      <c r="W16" s="650"/>
    </row>
    <row r="17" spans="1:23" ht="15" x14ac:dyDescent="0.25">
      <c r="A17" s="19">
        <f t="shared" ca="1" si="0"/>
        <v>17</v>
      </c>
      <c r="B17" s="952"/>
      <c r="C17" s="1001"/>
      <c r="E17" s="938" t="str">
        <f>E9</f>
        <v>+ Stroh*</v>
      </c>
      <c r="F17" s="956">
        <f>'F1 DB'!H21</f>
        <v>0.5</v>
      </c>
      <c r="G17" s="35" t="s">
        <v>13</v>
      </c>
      <c r="H17" s="956">
        <f>H9</f>
        <v>76.5</v>
      </c>
      <c r="I17" s="35" t="s">
        <v>9</v>
      </c>
      <c r="J17" s="957">
        <f>F17*H17</f>
        <v>38.25</v>
      </c>
      <c r="K17" s="35" t="s">
        <v>13</v>
      </c>
      <c r="L17" s="958">
        <f>L16</f>
        <v>1</v>
      </c>
      <c r="M17" s="35" t="s">
        <v>9</v>
      </c>
      <c r="N17" s="957">
        <f>J17*L17</f>
        <v>38.25</v>
      </c>
      <c r="O17" s="937"/>
      <c r="P17" s="937"/>
      <c r="Q17" s="937"/>
      <c r="T17" s="650"/>
      <c r="U17" s="650"/>
      <c r="V17" s="650"/>
      <c r="W17" s="650"/>
    </row>
    <row r="18" spans="1:23" ht="15" x14ac:dyDescent="0.25">
      <c r="A18" s="19">
        <f t="shared" ca="1" si="0"/>
        <v>18</v>
      </c>
      <c r="B18" s="952"/>
      <c r="C18" s="1001"/>
      <c r="E18" s="938" t="str">
        <f>E10</f>
        <v>= Düngerbedarf bei Strohabfuhr</v>
      </c>
      <c r="F18" s="937"/>
      <c r="H18" s="937"/>
      <c r="I18" s="937"/>
      <c r="J18" s="937"/>
      <c r="L18" s="937"/>
      <c r="M18" s="35" t="s">
        <v>9</v>
      </c>
      <c r="N18" s="959">
        <f>N16+N17</f>
        <v>106.25</v>
      </c>
      <c r="O18" s="937"/>
      <c r="P18" s="937"/>
      <c r="Q18" s="937"/>
      <c r="T18" s="650"/>
      <c r="U18" s="650"/>
      <c r="V18" s="650"/>
      <c r="W18" s="650"/>
    </row>
    <row r="19" spans="1:23" ht="6.75" customHeight="1" x14ac:dyDescent="0.25">
      <c r="A19" s="960">
        <f t="shared" ca="1" si="0"/>
        <v>19</v>
      </c>
      <c r="B19" s="952"/>
      <c r="C19" s="1001"/>
      <c r="E19" s="938"/>
      <c r="F19" s="937"/>
      <c r="H19" s="937"/>
      <c r="I19" s="937"/>
      <c r="J19" s="937"/>
      <c r="L19" s="937"/>
      <c r="M19" s="937"/>
      <c r="N19" s="961"/>
      <c r="O19" s="937"/>
      <c r="P19" s="937"/>
      <c r="Q19" s="937"/>
      <c r="T19" s="650"/>
      <c r="U19" s="650"/>
      <c r="V19" s="650"/>
      <c r="W19" s="650"/>
    </row>
    <row r="20" spans="1:23" ht="15" x14ac:dyDescent="0.25">
      <c r="A20" s="19">
        <f t="shared" ca="1" si="0"/>
        <v>20</v>
      </c>
      <c r="B20" s="952"/>
      <c r="C20" s="1001"/>
      <c r="E20" s="938" t="str">
        <f>E12</f>
        <v>– Rücklieferung aus Stroh</v>
      </c>
      <c r="F20" s="937"/>
      <c r="G20" s="937"/>
      <c r="H20" s="937"/>
      <c r="I20" s="937"/>
      <c r="J20" s="937"/>
      <c r="K20" s="937"/>
      <c r="L20" s="937"/>
      <c r="M20" s="35" t="s">
        <v>159</v>
      </c>
      <c r="N20" s="954">
        <f>P20*R20</f>
        <v>38.25</v>
      </c>
      <c r="O20" s="35" t="s">
        <v>9</v>
      </c>
      <c r="P20" s="959">
        <f>J17</f>
        <v>38.25</v>
      </c>
      <c r="Q20" s="35" t="s">
        <v>13</v>
      </c>
      <c r="R20" s="962">
        <f>'F1 DB'!J21</f>
        <v>1</v>
      </c>
      <c r="T20" s="650"/>
      <c r="U20" s="650"/>
      <c r="V20" s="650"/>
      <c r="W20" s="650"/>
    </row>
    <row r="21" spans="1:23" ht="15" x14ac:dyDescent="0.25">
      <c r="A21" s="19">
        <f t="shared" ca="1" si="0"/>
        <v>21</v>
      </c>
      <c r="B21" s="952"/>
      <c r="C21" s="1002"/>
      <c r="E21" s="938" t="str">
        <f>E13</f>
        <v>= Saldierter Düngerbedarf bei Stroheinarbeitung</v>
      </c>
      <c r="F21" s="937"/>
      <c r="G21" s="937"/>
      <c r="H21" s="937"/>
      <c r="I21" s="937"/>
      <c r="J21" s="937"/>
      <c r="K21" s="937"/>
      <c r="L21" s="937"/>
      <c r="M21" s="35" t="s">
        <v>9</v>
      </c>
      <c r="N21" s="957">
        <f>N18-N20</f>
        <v>68</v>
      </c>
      <c r="O21" s="937"/>
      <c r="P21" s="937"/>
      <c r="Q21" s="937"/>
      <c r="T21" s="650"/>
      <c r="U21" s="650"/>
      <c r="V21" s="650"/>
      <c r="W21" s="650"/>
    </row>
    <row r="22" spans="1:23" ht="15" x14ac:dyDescent="0.25">
      <c r="A22" s="19">
        <f t="shared" ca="1" si="0"/>
        <v>22</v>
      </c>
      <c r="B22" s="952"/>
      <c r="T22" s="650"/>
      <c r="U22" s="650"/>
      <c r="V22" s="650"/>
      <c r="W22" s="650"/>
    </row>
    <row r="23" spans="1:23" ht="15" x14ac:dyDescent="0.25">
      <c r="A23" s="19">
        <f t="shared" ca="1" si="0"/>
        <v>23</v>
      </c>
      <c r="B23" s="952"/>
      <c r="T23" s="650"/>
      <c r="U23" s="650"/>
      <c r="V23" s="650"/>
      <c r="W23" s="650"/>
    </row>
    <row r="24" spans="1:23" ht="15" x14ac:dyDescent="0.25">
      <c r="A24" s="19">
        <f t="shared" ca="1" si="0"/>
        <v>24</v>
      </c>
      <c r="B24" s="952"/>
      <c r="C24" s="1003" t="s">
        <v>94</v>
      </c>
      <c r="E24" t="str">
        <f>E8</f>
        <v>Korn</v>
      </c>
      <c r="F24" s="953">
        <f>'F1 DB'!G22</f>
        <v>0.6</v>
      </c>
      <c r="G24" s="35" t="s">
        <v>13</v>
      </c>
      <c r="H24" s="953">
        <f>H8</f>
        <v>85</v>
      </c>
      <c r="I24" s="35" t="s">
        <v>9</v>
      </c>
      <c r="J24" s="954">
        <f>F24*H24</f>
        <v>51</v>
      </c>
      <c r="K24" s="35" t="s">
        <v>13</v>
      </c>
      <c r="L24" s="955">
        <f>'F1 DB'!I22</f>
        <v>1</v>
      </c>
      <c r="M24" s="35" t="s">
        <v>9</v>
      </c>
      <c r="N24" s="954">
        <f>J24*L24</f>
        <v>51</v>
      </c>
      <c r="O24" s="937"/>
      <c r="P24" s="937"/>
      <c r="Q24" s="937"/>
      <c r="T24" s="650"/>
      <c r="U24" s="650"/>
      <c r="V24" s="650"/>
      <c r="W24" s="650"/>
    </row>
    <row r="25" spans="1:23" ht="15" x14ac:dyDescent="0.25">
      <c r="A25" s="19">
        <f t="shared" ca="1" si="0"/>
        <v>25</v>
      </c>
      <c r="B25" s="952"/>
      <c r="C25" s="1001"/>
      <c r="E25" s="938" t="str">
        <f>E9</f>
        <v>+ Stroh*</v>
      </c>
      <c r="F25" s="956">
        <f>'F1 DB'!H22</f>
        <v>1.1000000000000001</v>
      </c>
      <c r="G25" s="35" t="s">
        <v>13</v>
      </c>
      <c r="H25" s="956">
        <f>H9</f>
        <v>76.5</v>
      </c>
      <c r="I25" s="35" t="s">
        <v>9</v>
      </c>
      <c r="J25" s="957">
        <f>F25*H25</f>
        <v>84.15</v>
      </c>
      <c r="K25" s="35" t="s">
        <v>13</v>
      </c>
      <c r="L25" s="958">
        <f>L24</f>
        <v>1</v>
      </c>
      <c r="M25" s="35" t="s">
        <v>9</v>
      </c>
      <c r="N25" s="957">
        <f>J25*L25</f>
        <v>84.15</v>
      </c>
      <c r="O25" s="937"/>
      <c r="P25" s="937"/>
      <c r="Q25" s="937"/>
      <c r="T25" s="650"/>
      <c r="U25" s="650"/>
      <c r="V25" s="650"/>
      <c r="W25" s="650"/>
    </row>
    <row r="26" spans="1:23" ht="15" x14ac:dyDescent="0.25">
      <c r="A26" s="19">
        <f t="shared" ca="1" si="0"/>
        <v>26</v>
      </c>
      <c r="B26" s="952"/>
      <c r="C26" s="1001"/>
      <c r="E26" s="938" t="str">
        <f>E10</f>
        <v>= Düngerbedarf bei Strohabfuhr</v>
      </c>
      <c r="F26" s="937"/>
      <c r="H26" s="937"/>
      <c r="I26" s="937"/>
      <c r="J26" s="937"/>
      <c r="L26" s="937"/>
      <c r="M26" s="35" t="s">
        <v>9</v>
      </c>
      <c r="N26" s="959">
        <f>N24+N25</f>
        <v>135.15</v>
      </c>
      <c r="O26" s="937"/>
      <c r="P26" s="937"/>
      <c r="Q26" s="937"/>
      <c r="T26" s="650"/>
      <c r="U26" s="650"/>
      <c r="V26" s="650"/>
      <c r="W26" s="650"/>
    </row>
    <row r="27" spans="1:23" ht="6.75" customHeight="1" x14ac:dyDescent="0.25">
      <c r="A27" s="960">
        <f t="shared" ca="1" si="0"/>
        <v>27</v>
      </c>
      <c r="B27" s="952"/>
      <c r="C27" s="1001"/>
      <c r="E27" s="938"/>
      <c r="F27" s="937"/>
      <c r="H27" s="937"/>
      <c r="I27" s="937"/>
      <c r="J27" s="937"/>
      <c r="L27" s="937"/>
      <c r="M27" s="937"/>
      <c r="N27" s="961"/>
      <c r="O27" s="937"/>
      <c r="P27" s="937"/>
      <c r="Q27" s="937"/>
      <c r="T27" s="650"/>
      <c r="U27" s="650"/>
      <c r="V27" s="650"/>
      <c r="W27" s="650"/>
    </row>
    <row r="28" spans="1:23" ht="15" x14ac:dyDescent="0.25">
      <c r="A28" s="19">
        <f t="shared" ca="1" si="0"/>
        <v>28</v>
      </c>
      <c r="B28" s="952"/>
      <c r="C28" s="1001"/>
      <c r="E28" s="938" t="str">
        <f>E12</f>
        <v>– Rücklieferung aus Stroh</v>
      </c>
      <c r="F28" s="937"/>
      <c r="G28" s="937"/>
      <c r="H28" s="937"/>
      <c r="I28" s="937"/>
      <c r="J28" s="937"/>
      <c r="K28" s="937"/>
      <c r="L28" s="937"/>
      <c r="M28" s="35" t="s">
        <v>159</v>
      </c>
      <c r="N28" s="954">
        <f>P28*R28</f>
        <v>84.15</v>
      </c>
      <c r="O28" s="35" t="s">
        <v>9</v>
      </c>
      <c r="P28" s="959">
        <f>J25</f>
        <v>84.15</v>
      </c>
      <c r="Q28" s="35" t="s">
        <v>13</v>
      </c>
      <c r="R28" s="962">
        <f>'F1 DB'!J22</f>
        <v>1</v>
      </c>
      <c r="T28" s="650"/>
      <c r="U28" s="650"/>
      <c r="V28" s="650"/>
      <c r="W28" s="650"/>
    </row>
    <row r="29" spans="1:23" ht="15" x14ac:dyDescent="0.25">
      <c r="A29" s="19">
        <f t="shared" ca="1" si="0"/>
        <v>29</v>
      </c>
      <c r="B29" s="952"/>
      <c r="C29" s="1002"/>
      <c r="E29" s="938" t="str">
        <f>E13</f>
        <v>= Saldierter Düngerbedarf bei Stroheinarbeitung</v>
      </c>
      <c r="F29" s="937"/>
      <c r="G29" s="937"/>
      <c r="H29" s="937"/>
      <c r="I29" s="937"/>
      <c r="J29" s="937"/>
      <c r="K29" s="937"/>
      <c r="L29" s="937"/>
      <c r="M29" s="35" t="s">
        <v>9</v>
      </c>
      <c r="N29" s="957">
        <f>N26-N28</f>
        <v>51</v>
      </c>
      <c r="O29" s="937"/>
      <c r="P29" s="937"/>
      <c r="Q29" s="937"/>
      <c r="T29" s="650"/>
      <c r="U29" s="650"/>
      <c r="V29" s="650"/>
      <c r="W29" s="650"/>
    </row>
    <row r="30" spans="1:23" ht="15" x14ac:dyDescent="0.25">
      <c r="A30" s="19">
        <f t="shared" ca="1" si="0"/>
        <v>30</v>
      </c>
      <c r="B30" s="952"/>
    </row>
    <row r="31" spans="1:23" ht="15" x14ac:dyDescent="0.25">
      <c r="A31" s="19">
        <f t="shared" ca="1" si="0"/>
        <v>31</v>
      </c>
      <c r="B31" s="952"/>
    </row>
    <row r="32" spans="1:23" ht="15" x14ac:dyDescent="0.25">
      <c r="A32" s="19">
        <f t="shared" ca="1" si="0"/>
        <v>32</v>
      </c>
      <c r="B32" s="952"/>
      <c r="C32" t="s">
        <v>91</v>
      </c>
      <c r="F32" s="963">
        <f>IF(pvVar=2,'F1 DB'!M18,'F1 DB'!P18)</f>
        <v>0.9</v>
      </c>
      <c r="G32" s="938" t="s">
        <v>92</v>
      </c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</sheetData>
  <sheetProtection sheet="1" objects="1" scenarios="1"/>
  <mergeCells count="9">
    <mergeCell ref="Q6:Q7"/>
    <mergeCell ref="C8:C13"/>
    <mergeCell ref="C16:C21"/>
    <mergeCell ref="M4:M5"/>
    <mergeCell ref="C24:C29"/>
    <mergeCell ref="G4:G5"/>
    <mergeCell ref="I4:I5"/>
    <mergeCell ref="K4:K5"/>
    <mergeCell ref="O4:O5"/>
  </mergeCells>
  <phoneticPr fontId="12" type="noConversion"/>
  <pageMargins left="0.78740157480314965" right="0.78740157480314965" top="0.78740157480314965" bottom="0.78740157480314965" header="0.51181102362204722" footer="0.51181102362204722"/>
  <pageSetup paperSize="9" orientation="landscape" blackAndWhite="1" horizontalDpi="300" verticalDpi="300" r:id="rId1"/>
  <headerFooter alignWithMargins="0">
    <oddFooter>&amp;L&amp;8Marktfruchtbau&amp;R&amp;P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Tabelle7">
    <pageSetUpPr fitToPage="1"/>
  </sheetPr>
  <dimension ref="A1:U50"/>
  <sheetViews>
    <sheetView showGridLines="0" topLeftCell="A30" zoomScale="160" zoomScaleNormal="160" workbookViewId="0">
      <selection activeCell="R32" sqref="R32"/>
    </sheetView>
  </sheetViews>
  <sheetFormatPr baseColWidth="10" defaultColWidth="11.44140625" defaultRowHeight="15" x14ac:dyDescent="0.25"/>
  <cols>
    <col min="1" max="1" width="2.6640625" style="1" bestFit="1" customWidth="1"/>
    <col min="2" max="2" width="1.6640625" style="37" customWidth="1"/>
    <col min="3" max="3" width="2.6640625" style="1" customWidth="1"/>
    <col min="4" max="4" width="8.109375" style="1" customWidth="1"/>
    <col min="5" max="5" width="7.88671875" style="1" customWidth="1"/>
    <col min="6" max="6" width="5.33203125" style="1" customWidth="1"/>
    <col min="7" max="7" width="1.88671875" style="1" customWidth="1"/>
    <col min="8" max="8" width="8.44140625" style="1" customWidth="1"/>
    <col min="9" max="9" width="6.88671875" style="1" customWidth="1"/>
    <col min="10" max="10" width="1.109375" style="1" customWidth="1"/>
    <col min="11" max="16" width="8.44140625" style="1" customWidth="1"/>
    <col min="17" max="17" width="3.88671875" style="1" customWidth="1"/>
    <col min="18" max="18" width="8.88671875" style="1" bestFit="1" customWidth="1"/>
    <col min="19" max="19" width="9.33203125" style="1" customWidth="1"/>
    <col min="20" max="16384" width="11.44140625" style="1"/>
  </cols>
  <sheetData>
    <row r="1" spans="1:21" ht="15.6" x14ac:dyDescent="0.3">
      <c r="A1" s="36">
        <f t="shared" ref="A1:A49" ca="1" si="0">CELL("Row",A1)</f>
        <v>1</v>
      </c>
      <c r="C1" s="38" t="s">
        <v>57</v>
      </c>
      <c r="N1" s="3"/>
      <c r="O1" s="755" t="str">
        <f>IF(pvVar=2,'F1 DB'!N3,'F1 DB'!K3&amp;",")</f>
        <v>Weizen 85 dt,</v>
      </c>
      <c r="P1" s="755" t="str">
        <f>"1 "&amp;Unit</f>
        <v>1 ha</v>
      </c>
      <c r="Q1" s="39"/>
      <c r="S1" s="762" t="s">
        <v>60</v>
      </c>
      <c r="T1" s="987">
        <v>1</v>
      </c>
      <c r="U1" s="1" t="s">
        <v>73</v>
      </c>
    </row>
    <row r="2" spans="1:21" customFormat="1" ht="13.2" x14ac:dyDescent="0.25">
      <c r="A2" s="36">
        <f t="shared" ca="1" si="0"/>
        <v>2</v>
      </c>
    </row>
    <row r="3" spans="1:21" x14ac:dyDescent="0.25">
      <c r="A3" s="36">
        <f t="shared" ca="1" si="0"/>
        <v>3</v>
      </c>
      <c r="C3" s="698" t="s">
        <v>49</v>
      </c>
      <c r="D3" s="5"/>
      <c r="J3"/>
      <c r="K3" s="6" t="s">
        <v>129</v>
      </c>
      <c r="O3" s="394" t="s">
        <v>130</v>
      </c>
      <c r="P3" s="709" t="s">
        <v>131</v>
      </c>
      <c r="Q3" s="39"/>
      <c r="R3" s="40" t="s">
        <v>132</v>
      </c>
      <c r="S3" s="41"/>
      <c r="T3" s="41"/>
    </row>
    <row r="4" spans="1:21" x14ac:dyDescent="0.25">
      <c r="A4" s="36">
        <f t="shared" ca="1" si="0"/>
        <v>4</v>
      </c>
      <c r="C4" s="42" t="s">
        <v>123</v>
      </c>
      <c r="D4" s="43"/>
      <c r="E4" s="43"/>
      <c r="F4" s="43"/>
      <c r="G4" s="43"/>
      <c r="H4" s="95">
        <f>IF(pvVar=2,'F1 DB'!N6,'F1 DB'!K6)</f>
        <v>70</v>
      </c>
      <c r="I4" s="44" t="str">
        <f>ProdUnit&amp;"/"&amp;Unit</f>
        <v>/ha</v>
      </c>
      <c r="J4"/>
      <c r="K4" s="396" t="s">
        <v>14</v>
      </c>
      <c r="L4" s="700"/>
      <c r="M4" s="480">
        <f>IF(pvVar=2,'F1 DB'!P49,'F1 DB'!$M$49)</f>
        <v>625.94760000000008</v>
      </c>
      <c r="N4" s="705" t="str">
        <f>Curr</f>
        <v>€</v>
      </c>
      <c r="O4" s="397">
        <v>0.2</v>
      </c>
      <c r="P4" s="710">
        <f>IF(M4=0,0,100%-O4)</f>
        <v>0.8</v>
      </c>
      <c r="Q4" s="39"/>
      <c r="R4" s="416">
        <f>O4*H17+P4*H18</f>
        <v>1.8000000000000003</v>
      </c>
      <c r="S4" s="54" t="s">
        <v>161</v>
      </c>
      <c r="T4" s="51" t="s">
        <v>133</v>
      </c>
    </row>
    <row r="5" spans="1:21" x14ac:dyDescent="0.25">
      <c r="A5" s="36">
        <f t="shared" ca="1" si="0"/>
        <v>5</v>
      </c>
      <c r="C5" s="586" t="s">
        <v>19</v>
      </c>
      <c r="D5" s="587"/>
      <c r="E5" s="587"/>
      <c r="F5" s="587"/>
      <c r="G5" s="587"/>
      <c r="H5" s="588">
        <f>IF(pvVar=2,'F1 DB'!O6,'F1 DB'!L6)</f>
        <v>22</v>
      </c>
      <c r="I5" s="589" t="str">
        <f>Curr&amp;"/"&amp;ProdUnit</f>
        <v>€/</v>
      </c>
      <c r="J5"/>
      <c r="K5" s="393" t="s">
        <v>203</v>
      </c>
      <c r="L5" s="701"/>
      <c r="M5" s="481">
        <f>(E34+E35)/2</f>
        <v>2100</v>
      </c>
      <c r="N5" s="706" t="str">
        <f>Curr</f>
        <v>€</v>
      </c>
      <c r="O5" s="59">
        <v>0.5</v>
      </c>
      <c r="P5" s="711">
        <f>IF(M5=0,0,100%-O5)</f>
        <v>0.5</v>
      </c>
      <c r="Q5" s="39"/>
      <c r="R5" s="417">
        <f>O5*H37+P5*H38</f>
        <v>1.5</v>
      </c>
      <c r="S5" s="55" t="s">
        <v>161</v>
      </c>
      <c r="T5" s="418">
        <f>IF(R4+R5=0,0,(M4/(M4+M5)*R4)+(M5/(M4+M5)*R5))</f>
        <v>1.5688877071591545</v>
      </c>
      <c r="U5" s="1" t="s">
        <v>161</v>
      </c>
    </row>
    <row r="6" spans="1:21" x14ac:dyDescent="0.25">
      <c r="A6" s="36">
        <f t="shared" ca="1" si="0"/>
        <v>6</v>
      </c>
      <c r="C6" s="53" t="s">
        <v>29</v>
      </c>
      <c r="D6" s="9"/>
      <c r="E6" s="9"/>
      <c r="F6" s="9"/>
      <c r="G6" s="9"/>
      <c r="H6" s="98">
        <f>IF(pvVar=2,SUM('F1 DB'!P7:P8),SUM('F1 DB'!M7:M8))</f>
        <v>270</v>
      </c>
      <c r="I6" s="590" t="str">
        <f>Curr&amp;"/"&amp;Unit</f>
        <v>€/ha</v>
      </c>
      <c r="J6"/>
      <c r="K6" s="45" t="s">
        <v>28</v>
      </c>
      <c r="L6" s="702"/>
      <c r="M6" s="480">
        <f>IF(pvVar=2,'F1 DB'!O67,'F1 DB'!$L$67)</f>
        <v>5.9470000000000001</v>
      </c>
      <c r="N6" s="705" t="s">
        <v>169</v>
      </c>
      <c r="O6" s="47">
        <v>0.2</v>
      </c>
      <c r="P6" s="712">
        <f>IF(M6=0,0,100%-O6)</f>
        <v>0.8</v>
      </c>
      <c r="Q6" s="39"/>
      <c r="R6" s="49">
        <f>O6*H21+P6*H22</f>
        <v>29</v>
      </c>
      <c r="S6" s="50" t="str">
        <f>Curr&amp;"/AKh"</f>
        <v>€/AKh</v>
      </c>
      <c r="T6" s="51" t="s">
        <v>133</v>
      </c>
    </row>
    <row r="7" spans="1:21" x14ac:dyDescent="0.25">
      <c r="A7" s="36">
        <f t="shared" ca="1" si="0"/>
        <v>7</v>
      </c>
      <c r="C7" s="99" t="s">
        <v>165</v>
      </c>
      <c r="D7" s="10"/>
      <c r="E7" s="10"/>
      <c r="F7" s="10"/>
      <c r="G7" s="10"/>
      <c r="H7" s="100">
        <f>IF(pvVar=2,SUM('F1 DB'!Q9:Q10),SUM('F1 DB'!N9:N10))</f>
        <v>1</v>
      </c>
      <c r="I7" s="591" t="str">
        <f>Curr&amp;"/"&amp;Unit</f>
        <v>€/ha</v>
      </c>
      <c r="J7"/>
      <c r="K7" s="56" t="s">
        <v>134</v>
      </c>
      <c r="L7" s="703"/>
      <c r="M7" s="57">
        <v>2</v>
      </c>
      <c r="N7" s="707" t="s">
        <v>169</v>
      </c>
      <c r="O7" s="59"/>
      <c r="P7" s="711">
        <f>IF(M7=0,0,100%-O7)</f>
        <v>1</v>
      </c>
      <c r="Q7" s="39"/>
      <c r="R7" s="399">
        <f>O7*H40+P7*H41</f>
        <v>30</v>
      </c>
      <c r="S7" s="400" t="str">
        <f>Curr&amp;"/AKh"</f>
        <v>€/AKh</v>
      </c>
      <c r="T7" s="401">
        <f>IF(R6+R7=0,0,(M6/(M6+M7)*R6)+(M7/(M6+M7)*R7))</f>
        <v>29.251667295834906</v>
      </c>
      <c r="U7" s="1" t="str">
        <f>Curr&amp;"/AKh"</f>
        <v>€/AKh</v>
      </c>
    </row>
    <row r="8" spans="1:21" ht="15.6" thickBot="1" x14ac:dyDescent="0.3">
      <c r="A8" s="36">
        <f t="shared" ca="1" si="0"/>
        <v>8</v>
      </c>
      <c r="C8" s="757" t="s">
        <v>206</v>
      </c>
      <c r="D8" s="758"/>
      <c r="E8" s="758"/>
      <c r="F8" s="758"/>
      <c r="G8" s="758"/>
      <c r="H8" s="759">
        <f>IF(pvVar=2,'F1 DB'!P47,'F1 DB'!$M$47)</f>
        <v>1043.2460000000001</v>
      </c>
      <c r="I8" s="760" t="str">
        <f>Curr&amp;"/"&amp;Unit</f>
        <v>€/ha</v>
      </c>
      <c r="J8"/>
      <c r="K8" s="389" t="s">
        <v>100</v>
      </c>
      <c r="L8" s="704"/>
      <c r="M8" s="390">
        <v>1</v>
      </c>
      <c r="N8" s="708" t="s">
        <v>170</v>
      </c>
      <c r="O8" s="391">
        <v>0.65</v>
      </c>
      <c r="P8" s="713">
        <f>IF(M8=0,0,100%-O8)</f>
        <v>0.35</v>
      </c>
      <c r="Q8" s="39"/>
      <c r="R8" s="61">
        <f>O8*H25+P8*H26</f>
        <v>300</v>
      </c>
      <c r="S8" s="62" t="str">
        <f>Curr&amp;"/"&amp;Unit</f>
        <v>€/ha</v>
      </c>
      <c r="T8" s="62"/>
    </row>
    <row r="9" spans="1:21" ht="15.6" thickTop="1" x14ac:dyDescent="0.25">
      <c r="A9" s="36">
        <f t="shared" ca="1" si="0"/>
        <v>9</v>
      </c>
      <c r="C9" s="756" t="s">
        <v>166</v>
      </c>
      <c r="D9" s="7"/>
      <c r="E9" s="7"/>
      <c r="F9" s="7"/>
      <c r="G9" s="7"/>
      <c r="H9" s="520">
        <v>280</v>
      </c>
      <c r="I9" s="18" t="str">
        <f>Curr&amp;"/"&amp;Unit</f>
        <v>€/ha</v>
      </c>
      <c r="J9"/>
      <c r="K9" s="12"/>
      <c r="Q9" s="39"/>
    </row>
    <row r="10" spans="1:21" ht="15.6" thickBot="1" x14ac:dyDescent="0.3">
      <c r="A10" s="36">
        <f t="shared" ca="1" si="0"/>
        <v>10</v>
      </c>
      <c r="G10"/>
      <c r="H10"/>
      <c r="I10"/>
      <c r="J10"/>
      <c r="Q10" s="39"/>
      <c r="R10" s="65" t="s">
        <v>208</v>
      </c>
      <c r="S10" s="65"/>
      <c r="T10" s="934" t="str">
        <f>IF('F1 DB'!J6="","",'F1 DB'!J6)</f>
        <v/>
      </c>
    </row>
    <row r="11" spans="1:21" ht="15.6" thickTop="1" x14ac:dyDescent="0.25">
      <c r="A11" s="36">
        <f t="shared" ca="1" si="0"/>
        <v>11</v>
      </c>
      <c r="C11"/>
      <c r="D11"/>
      <c r="E11"/>
      <c r="F11"/>
      <c r="G11"/>
      <c r="H11"/>
      <c r="I11"/>
      <c r="J11"/>
      <c r="K11" s="746" t="s">
        <v>160</v>
      </c>
      <c r="L11" s="747"/>
      <c r="M11" s="748" t="s">
        <v>50</v>
      </c>
      <c r="N11" s="747"/>
      <c r="O11" s="748" t="s">
        <v>207</v>
      </c>
      <c r="P11" s="134"/>
      <c r="Q11" s="39"/>
    </row>
    <row r="12" spans="1:21" ht="15.6" thickBot="1" x14ac:dyDescent="0.3">
      <c r="A12" s="36">
        <f t="shared" ca="1" si="0"/>
        <v>12</v>
      </c>
      <c r="C12"/>
      <c r="D12"/>
      <c r="E12"/>
      <c r="F12"/>
      <c r="G12"/>
      <c r="H12"/>
      <c r="I12" s="35" t="str">
        <f>Curr&amp;"/"&amp;Unit</f>
        <v>€/ha</v>
      </c>
      <c r="J12" s="754"/>
      <c r="K12" s="749"/>
      <c r="L12" s="750"/>
      <c r="M12" s="751" t="s">
        <v>209</v>
      </c>
      <c r="N12" s="750"/>
      <c r="O12" s="752"/>
      <c r="P12" s="753"/>
      <c r="Q12" s="14"/>
    </row>
    <row r="13" spans="1:21" ht="15.6" thickTop="1" x14ac:dyDescent="0.25">
      <c r="A13" s="36">
        <f t="shared" ca="1" si="0"/>
        <v>13</v>
      </c>
      <c r="C13" s="563"/>
      <c r="D13" s="146" t="s">
        <v>51</v>
      </c>
      <c r="E13" s="108"/>
      <c r="F13" s="108"/>
      <c r="G13" s="108"/>
      <c r="H13" s="108"/>
      <c r="I13" s="108"/>
      <c r="J13" s="69"/>
      <c r="K13" s="719"/>
      <c r="L13" s="651" t="s">
        <v>139</v>
      </c>
      <c r="M13" s="593"/>
      <c r="N13" s="594">
        <f>H4*H5+H6+H7</f>
        <v>1811</v>
      </c>
      <c r="O13" s="733"/>
      <c r="P13" s="595">
        <f>N13</f>
        <v>1811</v>
      </c>
      <c r="Q13" s="66"/>
    </row>
    <row r="14" spans="1:21" x14ac:dyDescent="0.25">
      <c r="A14" s="36">
        <f t="shared" ca="1" si="0"/>
        <v>14</v>
      </c>
      <c r="C14" s="67" t="s">
        <v>144</v>
      </c>
      <c r="D14" s="68" t="s">
        <v>52</v>
      </c>
      <c r="E14" s="69"/>
      <c r="F14" s="69"/>
      <c r="G14" s="69"/>
      <c r="H14" s="69"/>
      <c r="I14" s="69"/>
      <c r="J14" s="69"/>
      <c r="K14" s="720"/>
      <c r="L14" s="594">
        <f>$H$8</f>
        <v>1043.2460000000001</v>
      </c>
      <c r="M14" s="733" t="s">
        <v>159</v>
      </c>
      <c r="N14" s="594">
        <f>$H$8</f>
        <v>1043.2460000000001</v>
      </c>
      <c r="O14" s="733" t="s">
        <v>159</v>
      </c>
      <c r="P14" s="595">
        <f>$H$8</f>
        <v>1043.2460000000001</v>
      </c>
      <c r="Q14" s="70"/>
    </row>
    <row r="15" spans="1:21" x14ac:dyDescent="0.25">
      <c r="A15" s="36">
        <f t="shared" ca="1" si="0"/>
        <v>15</v>
      </c>
      <c r="C15" s="71" t="s">
        <v>9</v>
      </c>
      <c r="D15" s="479" t="s">
        <v>55</v>
      </c>
      <c r="E15" s="73"/>
      <c r="F15" s="73"/>
      <c r="G15" s="73"/>
      <c r="H15" s="73"/>
      <c r="I15" s="73"/>
      <c r="J15" s="73"/>
      <c r="K15" s="721" t="s">
        <v>9</v>
      </c>
      <c r="L15" s="596">
        <f>L14</f>
        <v>1043.2460000000001</v>
      </c>
      <c r="M15" s="734" t="s">
        <v>9</v>
      </c>
      <c r="N15" s="596">
        <f>N13-N14</f>
        <v>767.75399999999991</v>
      </c>
      <c r="O15" s="734" t="s">
        <v>9</v>
      </c>
      <c r="P15" s="597">
        <f>P13-P14</f>
        <v>767.75399999999991</v>
      </c>
      <c r="Q15" s="74"/>
    </row>
    <row r="16" spans="1:21" x14ac:dyDescent="0.25">
      <c r="A16" s="36">
        <f t="shared" ca="1" si="0"/>
        <v>16</v>
      </c>
      <c r="C16" s="67" t="s">
        <v>144</v>
      </c>
      <c r="D16" s="584" t="s">
        <v>22</v>
      </c>
      <c r="E16" s="568"/>
      <c r="F16" s="568"/>
      <c r="G16" s="568"/>
      <c r="H16" s="568"/>
      <c r="I16" s="568"/>
      <c r="J16" s="568"/>
      <c r="K16" s="722"/>
      <c r="L16" s="598"/>
      <c r="M16" s="735"/>
      <c r="N16" s="598"/>
      <c r="O16" s="735"/>
      <c r="P16" s="599"/>
      <c r="Q16" s="74"/>
    </row>
    <row r="17" spans="1:17" x14ac:dyDescent="0.25">
      <c r="A17" s="36">
        <f t="shared" ca="1" si="0"/>
        <v>17</v>
      </c>
      <c r="C17" s="67"/>
      <c r="D17" s="68" t="s">
        <v>136</v>
      </c>
      <c r="E17" s="402">
        <f>M4*O4</f>
        <v>125.18952000000002</v>
      </c>
      <c r="F17" s="81" t="str">
        <f>Curr</f>
        <v>€</v>
      </c>
      <c r="G17" s="81" t="s">
        <v>13</v>
      </c>
      <c r="H17" s="567">
        <v>3</v>
      </c>
      <c r="I17" s="81" t="s">
        <v>161</v>
      </c>
      <c r="J17" s="81"/>
      <c r="K17" s="720" t="s">
        <v>8</v>
      </c>
      <c r="L17" s="594">
        <f>$E17*$H17%</f>
        <v>3.7556856000000005</v>
      </c>
      <c r="M17" s="733" t="s">
        <v>159</v>
      </c>
      <c r="N17" s="594">
        <f>$E17*$H17%</f>
        <v>3.7556856000000005</v>
      </c>
      <c r="O17" s="733" t="s">
        <v>159</v>
      </c>
      <c r="P17" s="595">
        <f>$E17*$H17%</f>
        <v>3.7556856000000005</v>
      </c>
      <c r="Q17" s="78"/>
    </row>
    <row r="18" spans="1:17" x14ac:dyDescent="0.25">
      <c r="A18" s="36">
        <f t="shared" ca="1" si="0"/>
        <v>18</v>
      </c>
      <c r="C18" s="67"/>
      <c r="D18" s="13" t="s">
        <v>137</v>
      </c>
      <c r="E18" s="77">
        <f>M4*P4</f>
        <v>500.75808000000006</v>
      </c>
      <c r="F18" s="76" t="str">
        <f>Curr</f>
        <v>€</v>
      </c>
      <c r="G18" s="76" t="s">
        <v>13</v>
      </c>
      <c r="H18" s="415">
        <v>1.5</v>
      </c>
      <c r="I18" s="76" t="s">
        <v>161</v>
      </c>
      <c r="J18" s="76"/>
      <c r="K18" s="723" t="s">
        <v>8</v>
      </c>
      <c r="L18" s="600">
        <f>$E18*$H18%</f>
        <v>7.511371200000001</v>
      </c>
      <c r="M18" s="736" t="s">
        <v>159</v>
      </c>
      <c r="N18" s="600">
        <f>$E18*$H18%</f>
        <v>7.511371200000001</v>
      </c>
      <c r="O18" s="736" t="s">
        <v>159</v>
      </c>
      <c r="P18" s="601" t="s">
        <v>140</v>
      </c>
      <c r="Q18" s="78"/>
    </row>
    <row r="19" spans="1:17" x14ac:dyDescent="0.25">
      <c r="A19" s="36">
        <f t="shared" ca="1" si="0"/>
        <v>19</v>
      </c>
      <c r="C19" s="71" t="s">
        <v>9</v>
      </c>
      <c r="D19" s="72" t="s">
        <v>211</v>
      </c>
      <c r="E19" s="80"/>
      <c r="F19" s="80"/>
      <c r="G19" s="80"/>
      <c r="H19" s="80"/>
      <c r="I19" s="80"/>
      <c r="J19" s="80"/>
      <c r="K19" s="721" t="s">
        <v>9</v>
      </c>
      <c r="L19" s="596">
        <f>SUM(L15:L18)</f>
        <v>1054.5130568000002</v>
      </c>
      <c r="M19" s="734" t="s">
        <v>9</v>
      </c>
      <c r="N19" s="596">
        <f>N15-N18-N17</f>
        <v>756.48694319999993</v>
      </c>
      <c r="O19" s="734" t="s">
        <v>9</v>
      </c>
      <c r="P19" s="597">
        <f>P15-P18-P17</f>
        <v>763.99831439999991</v>
      </c>
      <c r="Q19" s="74"/>
    </row>
    <row r="20" spans="1:17" x14ac:dyDescent="0.25">
      <c r="A20" s="36">
        <f t="shared" ca="1" si="0"/>
        <v>20</v>
      </c>
      <c r="C20" s="67" t="s">
        <v>144</v>
      </c>
      <c r="D20" s="585" t="s">
        <v>21</v>
      </c>
      <c r="E20" s="569"/>
      <c r="F20" s="569"/>
      <c r="G20" s="569"/>
      <c r="H20" s="569"/>
      <c r="I20" s="569"/>
      <c r="J20" s="569"/>
      <c r="K20" s="722"/>
      <c r="L20" s="598"/>
      <c r="M20" s="735"/>
      <c r="N20" s="598"/>
      <c r="O20" s="735"/>
      <c r="P20" s="599"/>
      <c r="Q20" s="74"/>
    </row>
    <row r="21" spans="1:17" x14ac:dyDescent="0.25">
      <c r="A21" s="36">
        <f t="shared" ca="1" si="0"/>
        <v>21</v>
      </c>
      <c r="C21" s="67"/>
      <c r="D21" s="68" t="s">
        <v>136</v>
      </c>
      <c r="E21" s="84">
        <f>M6*O6</f>
        <v>1.1894</v>
      </c>
      <c r="F21" s="81" t="s">
        <v>169</v>
      </c>
      <c r="G21" s="81" t="s">
        <v>13</v>
      </c>
      <c r="H21" s="566">
        <v>25</v>
      </c>
      <c r="I21" s="83" t="str">
        <f>Curr&amp;"/AKh"</f>
        <v>€/AKh</v>
      </c>
      <c r="J21" s="83"/>
      <c r="K21" s="719" t="s">
        <v>8</v>
      </c>
      <c r="L21" s="602">
        <f>$E21*$H21</f>
        <v>29.734999999999999</v>
      </c>
      <c r="M21" s="733" t="s">
        <v>159</v>
      </c>
      <c r="N21" s="602">
        <f>$E21*$H21</f>
        <v>29.734999999999999</v>
      </c>
      <c r="O21" s="593" t="s">
        <v>159</v>
      </c>
      <c r="P21" s="603">
        <f>$E21*$H21</f>
        <v>29.734999999999999</v>
      </c>
      <c r="Q21" s="78"/>
    </row>
    <row r="22" spans="1:17" x14ac:dyDescent="0.25">
      <c r="A22" s="36">
        <f t="shared" ca="1" si="0"/>
        <v>22</v>
      </c>
      <c r="C22" s="67"/>
      <c r="D22" s="13" t="s">
        <v>137</v>
      </c>
      <c r="E22" s="84">
        <f>M6*P6</f>
        <v>4.7576000000000001</v>
      </c>
      <c r="F22" s="81" t="s">
        <v>169</v>
      </c>
      <c r="G22" s="76" t="s">
        <v>13</v>
      </c>
      <c r="H22" s="82">
        <v>30</v>
      </c>
      <c r="I22" s="83" t="str">
        <f>Curr&amp;"/AKh"</f>
        <v>€/AKh</v>
      </c>
      <c r="J22" s="83"/>
      <c r="K22" s="720" t="s">
        <v>8</v>
      </c>
      <c r="L22" s="594">
        <f>$E22*$H22</f>
        <v>142.72800000000001</v>
      </c>
      <c r="M22" s="736" t="s">
        <v>159</v>
      </c>
      <c r="N22" s="594">
        <f>$E22*$H22</f>
        <v>142.72800000000001</v>
      </c>
      <c r="O22" s="733" t="s">
        <v>159</v>
      </c>
      <c r="P22" s="604" t="s">
        <v>140</v>
      </c>
      <c r="Q22" s="78"/>
    </row>
    <row r="23" spans="1:17" x14ac:dyDescent="0.25">
      <c r="A23" s="36">
        <f t="shared" ca="1" si="0"/>
        <v>23</v>
      </c>
      <c r="C23" s="71" t="s">
        <v>9</v>
      </c>
      <c r="D23" s="72" t="s">
        <v>212</v>
      </c>
      <c r="E23" s="80"/>
      <c r="F23" s="80"/>
      <c r="G23" s="80"/>
      <c r="H23" s="80"/>
      <c r="I23" s="80"/>
      <c r="J23" s="80"/>
      <c r="K23" s="721" t="s">
        <v>9</v>
      </c>
      <c r="L23" s="596">
        <f>SUM(L19:L22)</f>
        <v>1226.9760568000002</v>
      </c>
      <c r="M23" s="734" t="s">
        <v>9</v>
      </c>
      <c r="N23" s="596">
        <f>N19-N22-N21</f>
        <v>584.02394319999996</v>
      </c>
      <c r="O23" s="734" t="s">
        <v>9</v>
      </c>
      <c r="P23" s="597">
        <f>P19-P22-P21</f>
        <v>734.2633143999999</v>
      </c>
      <c r="Q23" s="74"/>
    </row>
    <row r="24" spans="1:17" x14ac:dyDescent="0.25">
      <c r="A24" s="36">
        <f t="shared" ca="1" si="0"/>
        <v>24</v>
      </c>
      <c r="C24" s="67" t="s">
        <v>144</v>
      </c>
      <c r="D24" s="584" t="s">
        <v>25</v>
      </c>
      <c r="E24" s="569"/>
      <c r="F24" s="569"/>
      <c r="G24" s="569"/>
      <c r="H24" s="569"/>
      <c r="I24" s="569"/>
      <c r="J24" s="569"/>
      <c r="K24" s="722"/>
      <c r="L24" s="598"/>
      <c r="M24" s="735"/>
      <c r="N24" s="598"/>
      <c r="O24" s="735"/>
      <c r="P24" s="599"/>
      <c r="Q24" s="74"/>
    </row>
    <row r="25" spans="1:17" x14ac:dyDescent="0.25">
      <c r="A25" s="36">
        <f t="shared" ca="1" si="0"/>
        <v>25</v>
      </c>
      <c r="C25" s="67"/>
      <c r="D25" s="68" t="s">
        <v>136</v>
      </c>
      <c r="E25" s="84">
        <f>M8*O8</f>
        <v>0.65</v>
      </c>
      <c r="F25" s="81" t="s">
        <v>170</v>
      </c>
      <c r="G25" s="81" t="s">
        <v>13</v>
      </c>
      <c r="H25" s="565">
        <v>300</v>
      </c>
      <c r="I25" s="83" t="str">
        <f>Curr&amp;"/"&amp;Unit</f>
        <v>€/ha</v>
      </c>
      <c r="J25" s="83"/>
      <c r="K25" s="720" t="s">
        <v>8</v>
      </c>
      <c r="L25" s="594">
        <f>$E25*$H25</f>
        <v>195</v>
      </c>
      <c r="M25" s="733" t="s">
        <v>159</v>
      </c>
      <c r="N25" s="594">
        <f>$E25*$H25</f>
        <v>195</v>
      </c>
      <c r="O25" s="733" t="s">
        <v>159</v>
      </c>
      <c r="P25" s="595">
        <f>$E25*$H25</f>
        <v>195</v>
      </c>
      <c r="Q25" s="78"/>
    </row>
    <row r="26" spans="1:17" x14ac:dyDescent="0.25">
      <c r="A26" s="36">
        <f t="shared" ca="1" si="0"/>
        <v>26</v>
      </c>
      <c r="C26" s="67"/>
      <c r="D26" s="91" t="s">
        <v>137</v>
      </c>
      <c r="E26" s="323">
        <f>M8*P8</f>
        <v>0.35</v>
      </c>
      <c r="F26" s="123" t="s">
        <v>170</v>
      </c>
      <c r="G26" s="123" t="s">
        <v>13</v>
      </c>
      <c r="H26" s="321">
        <v>300</v>
      </c>
      <c r="I26" s="322" t="str">
        <f>Curr&amp;"/"&amp;Unit</f>
        <v>€/ha</v>
      </c>
      <c r="J26" s="322"/>
      <c r="K26" s="724" t="s">
        <v>8</v>
      </c>
      <c r="L26" s="605">
        <f>$E26*$H26</f>
        <v>105</v>
      </c>
      <c r="M26" s="737" t="s">
        <v>159</v>
      </c>
      <c r="N26" s="605">
        <f>$E26*$H26</f>
        <v>105</v>
      </c>
      <c r="O26" s="737" t="s">
        <v>159</v>
      </c>
      <c r="P26" s="606" t="s">
        <v>140</v>
      </c>
      <c r="Q26" s="78"/>
    </row>
    <row r="27" spans="1:17" x14ac:dyDescent="0.25">
      <c r="A27" s="36">
        <f t="shared" ca="1" si="0"/>
        <v>27</v>
      </c>
      <c r="C27" s="67" t="s">
        <v>144</v>
      </c>
      <c r="D27" s="584" t="s">
        <v>24</v>
      </c>
      <c r="E27" s="574"/>
      <c r="F27" s="575"/>
      <c r="G27" s="575"/>
      <c r="H27" s="576"/>
      <c r="I27" s="577"/>
      <c r="J27" s="577"/>
      <c r="K27" s="725"/>
      <c r="L27" s="607"/>
      <c r="M27" s="738"/>
      <c r="N27" s="607"/>
      <c r="O27" s="738"/>
      <c r="P27" s="608"/>
      <c r="Q27" s="78"/>
    </row>
    <row r="28" spans="1:17" x14ac:dyDescent="0.25">
      <c r="A28" s="36">
        <f t="shared" ca="1" si="0"/>
        <v>28</v>
      </c>
      <c r="C28" s="67"/>
      <c r="D28" s="68" t="s">
        <v>136</v>
      </c>
      <c r="E28" s="570"/>
      <c r="F28" s="571" t="s">
        <v>26</v>
      </c>
      <c r="G28" s="571" t="s">
        <v>13</v>
      </c>
      <c r="H28" s="570"/>
      <c r="I28" s="572" t="str">
        <f>Curr&amp;"/"&amp;F28</f>
        <v>€/____</v>
      </c>
      <c r="J28" s="699"/>
      <c r="K28" s="720" t="s">
        <v>8</v>
      </c>
      <c r="L28" s="594">
        <f>$E28*$H28</f>
        <v>0</v>
      </c>
      <c r="M28" s="733" t="s">
        <v>159</v>
      </c>
      <c r="N28" s="594">
        <f>$E28*$H28</f>
        <v>0</v>
      </c>
      <c r="O28" s="733" t="s">
        <v>159</v>
      </c>
      <c r="P28" s="595">
        <f>$E28*$H28</f>
        <v>0</v>
      </c>
      <c r="Q28" s="86"/>
    </row>
    <row r="29" spans="1:17" x14ac:dyDescent="0.25">
      <c r="A29" s="36">
        <f t="shared" ca="1" si="0"/>
        <v>29</v>
      </c>
      <c r="C29" s="122"/>
      <c r="D29" s="91" t="s">
        <v>137</v>
      </c>
      <c r="E29" s="321"/>
      <c r="F29" s="373" t="s">
        <v>27</v>
      </c>
      <c r="G29" s="373" t="s">
        <v>13</v>
      </c>
      <c r="H29" s="321"/>
      <c r="I29" s="322" t="str">
        <f>Curr&amp;"/"&amp;F29</f>
        <v xml:space="preserve">€/____ </v>
      </c>
      <c r="J29" s="322"/>
      <c r="K29" s="724" t="s">
        <v>8</v>
      </c>
      <c r="L29" s="605">
        <f>$E29*$H29</f>
        <v>0</v>
      </c>
      <c r="M29" s="737" t="s">
        <v>159</v>
      </c>
      <c r="N29" s="605">
        <f>$E29*$H29</f>
        <v>0</v>
      </c>
      <c r="O29" s="737" t="s">
        <v>159</v>
      </c>
      <c r="P29" s="606" t="s">
        <v>140</v>
      </c>
      <c r="Q29" s="86"/>
    </row>
    <row r="30" spans="1:17" x14ac:dyDescent="0.25">
      <c r="A30" s="36">
        <f t="shared" ca="1" si="0"/>
        <v>30</v>
      </c>
      <c r="C30" s="318" t="s">
        <v>9</v>
      </c>
      <c r="D30" s="314" t="s">
        <v>213</v>
      </c>
      <c r="E30" s="315"/>
      <c r="F30" s="316"/>
      <c r="G30" s="316"/>
      <c r="H30" s="316"/>
      <c r="I30" s="315"/>
      <c r="J30" s="315"/>
      <c r="K30" s="726" t="s">
        <v>9</v>
      </c>
      <c r="L30" s="609">
        <f>SUM(L23:L29)</f>
        <v>1526.9760568000002</v>
      </c>
      <c r="M30" s="739" t="s">
        <v>9</v>
      </c>
      <c r="N30" s="609">
        <f>N23-N26-N25-N28-N29</f>
        <v>284.02394319999996</v>
      </c>
      <c r="O30" s="739" t="s">
        <v>9</v>
      </c>
      <c r="P30" s="610">
        <f>P23-P26-P25-P28-P29</f>
        <v>539.2633143999999</v>
      </c>
      <c r="Q30" s="74"/>
    </row>
    <row r="31" spans="1:17" ht="15.6" thickBot="1" x14ac:dyDescent="0.3">
      <c r="A31" s="36">
        <f t="shared" ca="1" si="0"/>
        <v>31</v>
      </c>
      <c r="C31" s="317"/>
      <c r="D31" s="295" t="s">
        <v>34</v>
      </c>
      <c r="E31" s="296"/>
      <c r="F31" s="297"/>
      <c r="G31" s="297"/>
      <c r="H31" s="973">
        <f>$H$9</f>
        <v>280</v>
      </c>
      <c r="I31" s="370" t="str">
        <f>$I$7</f>
        <v>€/ha</v>
      </c>
      <c r="J31" s="370"/>
      <c r="K31" s="727"/>
      <c r="L31" s="611">
        <f>IF($H31=0,0,L30-$H31)</f>
        <v>1246.9760568000002</v>
      </c>
      <c r="M31" s="740"/>
      <c r="N31" s="611">
        <f>IF($H31=0,0,N30+$H31)</f>
        <v>564.02394319999996</v>
      </c>
      <c r="O31" s="740"/>
      <c r="P31" s="612">
        <f>IF($H31=0,0,P30+$H31)</f>
        <v>819.2633143999999</v>
      </c>
      <c r="Q31" s="74"/>
    </row>
    <row r="32" spans="1:17" ht="15.6" thickTop="1" x14ac:dyDescent="0.25">
      <c r="A32" s="36">
        <f t="shared" ca="1" si="0"/>
        <v>32</v>
      </c>
      <c r="C32" s="649" t="s">
        <v>37</v>
      </c>
      <c r="D32" s="325"/>
      <c r="E32" s="2"/>
      <c r="F32" s="87"/>
      <c r="G32" s="87"/>
      <c r="H32" s="87"/>
      <c r="I32" s="2"/>
      <c r="J32" s="2"/>
      <c r="K32" s="728"/>
      <c r="L32" s="613"/>
      <c r="M32" s="741"/>
      <c r="N32" s="613"/>
      <c r="O32" s="741"/>
      <c r="P32" s="614"/>
      <c r="Q32" s="70"/>
    </row>
    <row r="33" spans="1:17" x14ac:dyDescent="0.25">
      <c r="A33" s="36">
        <f t="shared" ca="1" si="0"/>
        <v>33</v>
      </c>
      <c r="C33" s="67" t="s">
        <v>144</v>
      </c>
      <c r="D33" s="592" t="s">
        <v>97</v>
      </c>
      <c r="E33" s="2"/>
      <c r="F33" s="87"/>
      <c r="G33" s="87"/>
      <c r="H33" s="87"/>
      <c r="I33" s="2"/>
      <c r="J33" s="2"/>
      <c r="K33" s="728"/>
      <c r="L33" s="613"/>
      <c r="M33" s="741"/>
      <c r="N33" s="613"/>
      <c r="O33" s="741"/>
      <c r="P33" s="614"/>
      <c r="Q33" s="70"/>
    </row>
    <row r="34" spans="1:17" x14ac:dyDescent="0.25">
      <c r="A34" s="36">
        <f t="shared" ca="1" si="0"/>
        <v>34</v>
      </c>
      <c r="C34" s="67"/>
      <c r="D34" s="118" t="s">
        <v>31</v>
      </c>
      <c r="E34" s="1016">
        <v>2200</v>
      </c>
      <c r="F34" s="88" t="str">
        <f>Curr&amp;" (A)"</f>
        <v>€ (A)</v>
      </c>
      <c r="G34" s="571" t="s">
        <v>13</v>
      </c>
      <c r="H34" s="462">
        <v>10</v>
      </c>
      <c r="I34" s="79" t="s">
        <v>108</v>
      </c>
      <c r="J34" s="79"/>
      <c r="K34" s="720" t="s">
        <v>8</v>
      </c>
      <c r="L34" s="594">
        <f>$E34*$H34%</f>
        <v>220</v>
      </c>
      <c r="M34" s="733" t="s">
        <v>159</v>
      </c>
      <c r="N34" s="594">
        <f>$E34*$H34%</f>
        <v>220</v>
      </c>
      <c r="O34" s="733" t="s">
        <v>159</v>
      </c>
      <c r="P34" s="595">
        <f>$E34*$H34%</f>
        <v>220</v>
      </c>
      <c r="Q34" s="70"/>
    </row>
    <row r="35" spans="1:17" x14ac:dyDescent="0.25">
      <c r="A35" s="36">
        <f t="shared" ca="1" si="0"/>
        <v>35</v>
      </c>
      <c r="C35" s="122"/>
      <c r="D35" s="298" t="s">
        <v>232</v>
      </c>
      <c r="E35" s="1017">
        <v>2000</v>
      </c>
      <c r="F35" s="376" t="str">
        <f>Curr&amp;" (A)"</f>
        <v>€ (A)</v>
      </c>
      <c r="G35" s="373" t="s">
        <v>13</v>
      </c>
      <c r="H35" s="463">
        <v>5</v>
      </c>
      <c r="I35" s="298" t="s">
        <v>108</v>
      </c>
      <c r="J35" s="298"/>
      <c r="K35" s="724" t="s">
        <v>8</v>
      </c>
      <c r="L35" s="605">
        <f>$E35*$H35%</f>
        <v>100</v>
      </c>
      <c r="M35" s="737" t="s">
        <v>159</v>
      </c>
      <c r="N35" s="605">
        <f>$E35*$H35%</f>
        <v>100</v>
      </c>
      <c r="O35" s="737" t="s">
        <v>159</v>
      </c>
      <c r="P35" s="615">
        <f>$E35*$H35%</f>
        <v>100</v>
      </c>
      <c r="Q35" s="70"/>
    </row>
    <row r="36" spans="1:17" x14ac:dyDescent="0.25">
      <c r="A36" s="36">
        <f t="shared" ca="1" si="0"/>
        <v>36</v>
      </c>
      <c r="C36" s="67" t="s">
        <v>144</v>
      </c>
      <c r="D36" s="592" t="s">
        <v>23</v>
      </c>
      <c r="E36" s="580"/>
      <c r="F36" s="581"/>
      <c r="G36" s="581"/>
      <c r="H36" s="582"/>
      <c r="I36" s="581"/>
      <c r="J36" s="581"/>
      <c r="K36" s="729"/>
      <c r="L36" s="616"/>
      <c r="M36" s="742"/>
      <c r="N36" s="616"/>
      <c r="O36" s="742"/>
      <c r="P36" s="617"/>
      <c r="Q36" s="70"/>
    </row>
    <row r="37" spans="1:17" x14ac:dyDescent="0.25">
      <c r="A37" s="36">
        <f t="shared" ca="1" si="0"/>
        <v>37</v>
      </c>
      <c r="C37" s="67"/>
      <c r="D37" s="68" t="s">
        <v>136</v>
      </c>
      <c r="E37" s="1018">
        <f>M5*O5</f>
        <v>1050</v>
      </c>
      <c r="F37" s="81" t="str">
        <f>Curr</f>
        <v>€</v>
      </c>
      <c r="G37" s="81" t="s">
        <v>13</v>
      </c>
      <c r="H37" s="420">
        <v>1.5</v>
      </c>
      <c r="I37" s="69" t="s">
        <v>161</v>
      </c>
      <c r="J37" s="69"/>
      <c r="K37" s="720" t="s">
        <v>8</v>
      </c>
      <c r="L37" s="594">
        <f>$E37*$H37%</f>
        <v>15.75</v>
      </c>
      <c r="M37" s="733" t="s">
        <v>159</v>
      </c>
      <c r="N37" s="594">
        <f>$E37*$H37%</f>
        <v>15.75</v>
      </c>
      <c r="O37" s="733" t="s">
        <v>159</v>
      </c>
      <c r="P37" s="595">
        <f>$E37*$H37%</f>
        <v>15.75</v>
      </c>
      <c r="Q37" s="86"/>
    </row>
    <row r="38" spans="1:17" x14ac:dyDescent="0.25">
      <c r="A38" s="36">
        <f t="shared" ca="1" si="0"/>
        <v>38</v>
      </c>
      <c r="C38" s="122"/>
      <c r="D38" s="91" t="s">
        <v>137</v>
      </c>
      <c r="E38" s="1019">
        <f>M5*P5</f>
        <v>1050</v>
      </c>
      <c r="F38" s="154" t="str">
        <f>Curr</f>
        <v>€</v>
      </c>
      <c r="G38" s="154" t="s">
        <v>13</v>
      </c>
      <c r="H38" s="421">
        <v>1.5</v>
      </c>
      <c r="I38" s="52" t="s">
        <v>161</v>
      </c>
      <c r="J38" s="52"/>
      <c r="K38" s="730" t="s">
        <v>8</v>
      </c>
      <c r="L38" s="618">
        <f>$E38*$H38%</f>
        <v>15.75</v>
      </c>
      <c r="M38" s="743" t="s">
        <v>159</v>
      </c>
      <c r="N38" s="618">
        <f>$E38*$H38%</f>
        <v>15.75</v>
      </c>
      <c r="O38" s="743" t="s">
        <v>159</v>
      </c>
      <c r="P38" s="619" t="s">
        <v>140</v>
      </c>
      <c r="Q38" s="86"/>
    </row>
    <row r="39" spans="1:17" x14ac:dyDescent="0.25">
      <c r="A39" s="36">
        <f t="shared" ca="1" si="0"/>
        <v>39</v>
      </c>
      <c r="C39" s="67" t="s">
        <v>144</v>
      </c>
      <c r="D39" s="592" t="s">
        <v>39</v>
      </c>
      <c r="E39" s="578"/>
      <c r="F39" s="564"/>
      <c r="G39" s="564"/>
      <c r="H39" s="579"/>
      <c r="I39" s="2"/>
      <c r="J39" s="2"/>
      <c r="K39" s="728"/>
      <c r="L39" s="613"/>
      <c r="M39" s="741"/>
      <c r="N39" s="613"/>
      <c r="O39" s="741"/>
      <c r="P39" s="620"/>
      <c r="Q39" s="86"/>
    </row>
    <row r="40" spans="1:17" x14ac:dyDescent="0.25">
      <c r="A40" s="36">
        <f t="shared" ca="1" si="0"/>
        <v>40</v>
      </c>
      <c r="C40" s="67"/>
      <c r="D40" s="68" t="s">
        <v>136</v>
      </c>
      <c r="E40" s="403">
        <f>M7*O7</f>
        <v>0</v>
      </c>
      <c r="F40" s="69" t="s">
        <v>169</v>
      </c>
      <c r="G40" s="69" t="s">
        <v>13</v>
      </c>
      <c r="H40" s="404"/>
      <c r="I40" s="68" t="str">
        <f>Curr&amp;"/AKh"</f>
        <v>€/AKh</v>
      </c>
      <c r="J40" s="68"/>
      <c r="K40" s="719" t="s">
        <v>8</v>
      </c>
      <c r="L40" s="602">
        <f>$E40*$H40</f>
        <v>0</v>
      </c>
      <c r="M40" s="593" t="s">
        <v>159</v>
      </c>
      <c r="N40" s="602">
        <f>$E40*$H40</f>
        <v>0</v>
      </c>
      <c r="O40" s="593" t="s">
        <v>159</v>
      </c>
      <c r="P40" s="621">
        <f>$E40*$H40</f>
        <v>0</v>
      </c>
      <c r="Q40" s="86"/>
    </row>
    <row r="41" spans="1:17" x14ac:dyDescent="0.25">
      <c r="A41" s="36">
        <f t="shared" ca="1" si="0"/>
        <v>41</v>
      </c>
      <c r="C41" s="122"/>
      <c r="D41" s="91" t="s">
        <v>137</v>
      </c>
      <c r="E41" s="405">
        <f>M7*P7</f>
        <v>2</v>
      </c>
      <c r="F41" s="52" t="s">
        <v>169</v>
      </c>
      <c r="G41" s="52" t="s">
        <v>13</v>
      </c>
      <c r="H41" s="92">
        <v>30</v>
      </c>
      <c r="I41" s="406" t="str">
        <f>Curr&amp;"/AKh"</f>
        <v>€/AKh</v>
      </c>
      <c r="J41" s="406"/>
      <c r="K41" s="730" t="s">
        <v>8</v>
      </c>
      <c r="L41" s="618">
        <f>$E41*$H41</f>
        <v>60</v>
      </c>
      <c r="M41" s="743" t="s">
        <v>159</v>
      </c>
      <c r="N41" s="618">
        <f>$E41*$H41</f>
        <v>60</v>
      </c>
      <c r="O41" s="743" t="s">
        <v>159</v>
      </c>
      <c r="P41" s="619" t="s">
        <v>140</v>
      </c>
      <c r="Q41" s="86"/>
    </row>
    <row r="42" spans="1:17" x14ac:dyDescent="0.25">
      <c r="A42" s="36">
        <f t="shared" ca="1" si="0"/>
        <v>42</v>
      </c>
      <c r="C42" s="67" t="s">
        <v>144</v>
      </c>
      <c r="D42" s="68" t="s">
        <v>109</v>
      </c>
      <c r="E42" s="69"/>
      <c r="F42" s="69"/>
      <c r="G42" s="69"/>
      <c r="H42" s="89">
        <v>40</v>
      </c>
      <c r="I42" s="68" t="str">
        <f>Curr&amp;"/"&amp;Unit</f>
        <v>€/ha</v>
      </c>
      <c r="J42" s="68"/>
      <c r="K42" s="731" t="s">
        <v>8</v>
      </c>
      <c r="L42" s="622">
        <f t="shared" ref="L42:P43" si="1">$H42</f>
        <v>40</v>
      </c>
      <c r="M42" s="744" t="s">
        <v>159</v>
      </c>
      <c r="N42" s="622">
        <f t="shared" si="1"/>
        <v>40</v>
      </c>
      <c r="O42" s="744" t="s">
        <v>159</v>
      </c>
      <c r="P42" s="595">
        <f t="shared" si="1"/>
        <v>40</v>
      </c>
      <c r="Q42" s="70"/>
    </row>
    <row r="43" spans="1:17" x14ac:dyDescent="0.25">
      <c r="A43" s="36">
        <f t="shared" ca="1" si="0"/>
        <v>43</v>
      </c>
      <c r="C43" s="122" t="s">
        <v>144</v>
      </c>
      <c r="D43" s="625" t="s">
        <v>35</v>
      </c>
      <c r="E43" s="52"/>
      <c r="F43" s="52"/>
      <c r="G43" s="52"/>
      <c r="H43" s="92">
        <v>50</v>
      </c>
      <c r="I43" s="91" t="str">
        <f>Curr&amp;"/"&amp;Unit</f>
        <v>€/ha</v>
      </c>
      <c r="J43" s="91"/>
      <c r="K43" s="732" t="s">
        <v>8</v>
      </c>
      <c r="L43" s="623">
        <f t="shared" si="1"/>
        <v>50</v>
      </c>
      <c r="M43" s="745" t="s">
        <v>159</v>
      </c>
      <c r="N43" s="623">
        <f t="shared" si="1"/>
        <v>50</v>
      </c>
      <c r="O43" s="745" t="s">
        <v>159</v>
      </c>
      <c r="P43" s="624">
        <f t="shared" si="1"/>
        <v>50</v>
      </c>
      <c r="Q43" s="70"/>
    </row>
    <row r="44" spans="1:17" x14ac:dyDescent="0.25">
      <c r="A44" s="36">
        <f t="shared" ca="1" si="0"/>
        <v>44</v>
      </c>
      <c r="C44" s="318" t="s">
        <v>9</v>
      </c>
      <c r="D44" s="314" t="s">
        <v>218</v>
      </c>
      <c r="E44" s="315"/>
      <c r="F44" s="315"/>
      <c r="G44" s="315"/>
      <c r="H44" s="315"/>
      <c r="I44" s="316"/>
      <c r="J44" s="316"/>
      <c r="K44" s="726" t="s">
        <v>9</v>
      </c>
      <c r="L44" s="609">
        <f>L30+SUM(L34:L43)</f>
        <v>2028.4760568000002</v>
      </c>
      <c r="M44" s="739" t="s">
        <v>9</v>
      </c>
      <c r="N44" s="609">
        <f>N30-SUM(N34:N43)</f>
        <v>-217.47605680000004</v>
      </c>
      <c r="O44" s="739" t="s">
        <v>9</v>
      </c>
      <c r="P44" s="610">
        <f>P30-SUM(P34:P43)</f>
        <v>113.5133143999999</v>
      </c>
      <c r="Q44" s="74"/>
    </row>
    <row r="45" spans="1:17" ht="15.6" thickBot="1" x14ac:dyDescent="0.3">
      <c r="A45" s="36">
        <f t="shared" ca="1" si="0"/>
        <v>45</v>
      </c>
      <c r="C45" s="317"/>
      <c r="D45" s="295" t="s">
        <v>34</v>
      </c>
      <c r="E45" s="296"/>
      <c r="F45" s="296"/>
      <c r="G45" s="296"/>
      <c r="H45" s="973">
        <f>$H$9</f>
        <v>280</v>
      </c>
      <c r="I45" s="370" t="str">
        <f>$I$7</f>
        <v>€/ha</v>
      </c>
      <c r="J45" s="370"/>
      <c r="K45" s="727"/>
      <c r="L45" s="611">
        <f>IF($H45=0,0,L44-$H45)</f>
        <v>1748.4760568000002</v>
      </c>
      <c r="M45" s="740"/>
      <c r="N45" s="611">
        <f>IF($H45=0,0,N44+$H45)</f>
        <v>62.523943199999962</v>
      </c>
      <c r="O45" s="740"/>
      <c r="P45" s="612">
        <f>IF($H45=0,0,P44+$H45)</f>
        <v>393.5133143999999</v>
      </c>
      <c r="Q45" s="74"/>
    </row>
    <row r="46" spans="1:17" ht="15.6" thickTop="1" x14ac:dyDescent="0.25">
      <c r="A46" s="36">
        <f t="shared" ca="1" si="0"/>
        <v>46</v>
      </c>
      <c r="C46" s="8"/>
      <c r="D46" s="8"/>
      <c r="F46" s="443"/>
      <c r="G46" s="583"/>
      <c r="H46" s="583"/>
      <c r="I46" s="583"/>
      <c r="J46" s="583"/>
      <c r="K46" s="583"/>
      <c r="L46" s="324"/>
      <c r="M46" s="324"/>
      <c r="N46" s="441" t="s">
        <v>135</v>
      </c>
      <c r="O46" s="441"/>
      <c r="P46" s="442">
        <f>L18+L22+L26+L29+L38+L41</f>
        <v>330.98937120000005</v>
      </c>
    </row>
    <row r="47" spans="1:17" x14ac:dyDescent="0.25">
      <c r="A47" s="36">
        <f t="shared" ca="1" si="0"/>
        <v>47</v>
      </c>
      <c r="C47" s="650" t="s">
        <v>32</v>
      </c>
      <c r="D47" s="650" t="s">
        <v>53</v>
      </c>
      <c r="P47" s="93"/>
    </row>
    <row r="48" spans="1:17" x14ac:dyDescent="0.25">
      <c r="A48" s="36">
        <f t="shared" ca="1" si="0"/>
        <v>48</v>
      </c>
      <c r="C48" s="650" t="s">
        <v>33</v>
      </c>
      <c r="D48" s="650" t="s">
        <v>38</v>
      </c>
      <c r="P48" s="93"/>
    </row>
    <row r="49" spans="1:16" x14ac:dyDescent="0.25">
      <c r="A49" s="36">
        <f t="shared" ca="1" si="0"/>
        <v>49</v>
      </c>
      <c r="C49" s="650" t="s">
        <v>54</v>
      </c>
      <c r="D49" s="650" t="s">
        <v>96</v>
      </c>
      <c r="P49" s="93"/>
    </row>
    <row r="50" spans="1:16" x14ac:dyDescent="0.25">
      <c r="C50" s="650"/>
      <c r="D50" s="650"/>
    </row>
  </sheetData>
  <phoneticPr fontId="12" type="noConversion"/>
  <pageMargins left="0.70866141732283472" right="0.47244094488188981" top="0.78740157480314965" bottom="0.70866141732283472" header="0.23622047244094491" footer="0.39370078740157483"/>
  <pageSetup paperSize="9" scale="94" orientation="portrait" blackAndWhite="1" horizontalDpi="300" verticalDpi="300" r:id="rId1"/>
  <headerFooter alignWithMargins="0">
    <oddFooter>&amp;L&amp;8Marktfruchtbau&amp;R&amp;P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Tabelle13">
    <pageSetUpPr fitToPage="1"/>
  </sheetPr>
  <dimension ref="A1:Q76"/>
  <sheetViews>
    <sheetView showGridLines="0" zoomScaleNormal="100" workbookViewId="0">
      <selection activeCell="J46" sqref="J46"/>
    </sheetView>
  </sheetViews>
  <sheetFormatPr baseColWidth="10" defaultColWidth="11.44140625" defaultRowHeight="15" x14ac:dyDescent="0.25"/>
  <cols>
    <col min="1" max="1" width="2.6640625" style="1" bestFit="1" customWidth="1"/>
    <col min="2" max="2" width="1.6640625" style="37" customWidth="1"/>
    <col min="3" max="3" width="2.6640625" style="1" customWidth="1"/>
    <col min="4" max="4" width="8.109375" style="1" customWidth="1"/>
    <col min="5" max="5" width="7.88671875" style="1" customWidth="1"/>
    <col min="6" max="6" width="5.33203125" style="1" customWidth="1"/>
    <col min="7" max="7" width="1.88671875" style="1" customWidth="1"/>
    <col min="8" max="8" width="8.44140625" style="1" customWidth="1"/>
    <col min="9" max="9" width="6.88671875" style="1" customWidth="1"/>
    <col min="10" max="10" width="1.109375" style="1" customWidth="1"/>
    <col min="11" max="16" width="8.44140625" style="1" customWidth="1"/>
    <col min="17" max="16384" width="11.44140625" style="1"/>
  </cols>
  <sheetData>
    <row r="1" spans="1:16" ht="15.6" x14ac:dyDescent="0.3">
      <c r="A1" s="36">
        <f t="shared" ref="A1:A54" ca="1" si="0">CELL("Row",A1)</f>
        <v>1</v>
      </c>
      <c r="C1" s="94" t="s">
        <v>56</v>
      </c>
      <c r="D1" s="5"/>
      <c r="O1" s="755" t="str">
        <f>'F2 Gewinn'!$O$1</f>
        <v>Weizen 85 dt,</v>
      </c>
      <c r="P1" s="755" t="str">
        <f>"1 "&amp;Unit</f>
        <v>1 ha</v>
      </c>
    </row>
    <row r="2" spans="1:16" customFormat="1" ht="13.2" x14ac:dyDescent="0.25">
      <c r="A2" s="36">
        <f t="shared" ca="1" si="0"/>
        <v>2</v>
      </c>
    </row>
    <row r="3" spans="1:16" x14ac:dyDescent="0.25">
      <c r="A3" s="36">
        <f t="shared" ca="1" si="0"/>
        <v>3</v>
      </c>
      <c r="C3" s="698" t="s">
        <v>49</v>
      </c>
      <c r="K3" s="6" t="s">
        <v>129</v>
      </c>
      <c r="O3" s="394" t="s">
        <v>130</v>
      </c>
      <c r="P3" s="395" t="s">
        <v>131</v>
      </c>
    </row>
    <row r="4" spans="1:16" x14ac:dyDescent="0.25">
      <c r="A4" s="36">
        <f t="shared" ca="1" si="0"/>
        <v>4</v>
      </c>
      <c r="C4" s="42" t="str">
        <f>'F2 Gewinn'!$C$4</f>
        <v>Ertrag Hauptleistung</v>
      </c>
      <c r="D4" s="43"/>
      <c r="E4" s="43"/>
      <c r="F4" s="43"/>
      <c r="G4" s="43"/>
      <c r="H4" s="95">
        <f>'F2 Gewinn'!H4</f>
        <v>70</v>
      </c>
      <c r="I4" s="44" t="str">
        <f>ProdUnit&amp;"/"&amp;Unit</f>
        <v>/ha</v>
      </c>
      <c r="K4" s="396" t="s">
        <v>14</v>
      </c>
      <c r="L4" s="424"/>
      <c r="M4" s="480">
        <f>'F2 Gewinn'!$M$4</f>
        <v>625.94760000000008</v>
      </c>
      <c r="N4" s="425" t="str">
        <f>Curr</f>
        <v>€</v>
      </c>
      <c r="O4" s="714">
        <f>'F2 Gewinn'!O4</f>
        <v>0.2</v>
      </c>
      <c r="P4" s="398">
        <f>IF(M4=0,0,100%-O4)</f>
        <v>0.8</v>
      </c>
    </row>
    <row r="5" spans="1:16" x14ac:dyDescent="0.25">
      <c r="A5" s="36">
        <f t="shared" ca="1" si="0"/>
        <v>5</v>
      </c>
      <c r="C5" s="17" t="str">
        <f>'F2 Gewinn'!$C$5</f>
        <v>Preis</v>
      </c>
      <c r="D5" s="2"/>
      <c r="E5" s="2"/>
      <c r="F5" s="2"/>
      <c r="G5" s="2"/>
      <c r="H5" s="97">
        <f>'F2 Gewinn'!H5</f>
        <v>22</v>
      </c>
      <c r="I5" s="589" t="str">
        <f>Curr&amp;"/"&amp;ProdUnit</f>
        <v>€/</v>
      </c>
      <c r="K5" s="393" t="s">
        <v>203</v>
      </c>
      <c r="L5" s="101"/>
      <c r="M5" s="481">
        <f>'F2 Gewinn'!$M$5</f>
        <v>2100</v>
      </c>
      <c r="N5" s="58" t="str">
        <f>Curr</f>
        <v>€</v>
      </c>
      <c r="O5" s="715">
        <f>'F2 Gewinn'!O5</f>
        <v>0.5</v>
      </c>
      <c r="P5" s="60">
        <f>IF(M5=0,0,100%-O5)</f>
        <v>0.5</v>
      </c>
    </row>
    <row r="6" spans="1:16" x14ac:dyDescent="0.25">
      <c r="A6" s="36">
        <f t="shared" ca="1" si="0"/>
        <v>6</v>
      </c>
      <c r="C6" s="53" t="str">
        <f>'F2 Gewinn'!$C$6</f>
        <v>Nebenleistungen</v>
      </c>
      <c r="D6" s="9"/>
      <c r="E6" s="9"/>
      <c r="F6" s="9"/>
      <c r="G6" s="9"/>
      <c r="H6" s="98">
        <f>'F2 Gewinn'!H6</f>
        <v>270</v>
      </c>
      <c r="I6" s="590" t="str">
        <f>Curr&amp;"/"&amp;Unit</f>
        <v>€/ha</v>
      </c>
      <c r="K6" s="45" t="s">
        <v>28</v>
      </c>
      <c r="L6" s="422"/>
      <c r="M6" s="494">
        <f>'F2 Gewinn'!$M$6</f>
        <v>5.9470000000000001</v>
      </c>
      <c r="N6" s="423" t="s">
        <v>169</v>
      </c>
      <c r="O6" s="716">
        <f>'F2 Gewinn'!O6</f>
        <v>0.2</v>
      </c>
      <c r="P6" s="48">
        <f>IF(M6=0,0,100%-O6)</f>
        <v>0.8</v>
      </c>
    </row>
    <row r="7" spans="1:16" x14ac:dyDescent="0.25">
      <c r="A7" s="36">
        <f t="shared" ca="1" si="0"/>
        <v>7</v>
      </c>
      <c r="C7" s="99" t="s">
        <v>165</v>
      </c>
      <c r="D7" s="10"/>
      <c r="E7" s="10"/>
      <c r="F7" s="10"/>
      <c r="G7" s="10"/>
      <c r="H7" s="100">
        <f>'F2 Gewinn'!H7</f>
        <v>1</v>
      </c>
      <c r="I7" s="591" t="str">
        <f>Curr&amp;"/"&amp;Unit</f>
        <v>€/ha</v>
      </c>
      <c r="K7" s="426" t="s">
        <v>134</v>
      </c>
      <c r="L7" s="427"/>
      <c r="M7" s="428">
        <f>'F2 Gewinn'!$M$7</f>
        <v>2</v>
      </c>
      <c r="N7" s="429" t="s">
        <v>169</v>
      </c>
      <c r="O7" s="717">
        <f>'F2 Gewinn'!O7</f>
        <v>0</v>
      </c>
      <c r="P7" s="430">
        <f>IF(M7=0,0,100%-O7)</f>
        <v>1</v>
      </c>
    </row>
    <row r="8" spans="1:16" ht="15.6" thickBot="1" x14ac:dyDescent="0.3">
      <c r="A8" s="36">
        <f t="shared" ca="1" si="0"/>
        <v>8</v>
      </c>
      <c r="C8" s="757" t="str">
        <f>'F2 Gewinn'!$C$8</f>
        <v>Proport. var. Kosten</v>
      </c>
      <c r="D8" s="758"/>
      <c r="E8" s="758"/>
      <c r="F8" s="758"/>
      <c r="G8" s="758"/>
      <c r="H8" s="759">
        <f>'F2 Gewinn'!H8</f>
        <v>1043.2460000000001</v>
      </c>
      <c r="I8" s="760" t="str">
        <f>Curr&amp;"/"&amp;Unit</f>
        <v>€/ha</v>
      </c>
      <c r="K8" s="431" t="s">
        <v>100</v>
      </c>
      <c r="L8" s="432"/>
      <c r="M8" s="433">
        <f>'F2 Gewinn'!$M$8</f>
        <v>1</v>
      </c>
      <c r="N8" s="434" t="s">
        <v>170</v>
      </c>
      <c r="O8" s="718">
        <f>'F2 Gewinn'!O8</f>
        <v>0.65</v>
      </c>
      <c r="P8" s="435">
        <f>IF(M8=0,0,100%-O8)</f>
        <v>0.35</v>
      </c>
    </row>
    <row r="9" spans="1:16" ht="15.6" thickTop="1" x14ac:dyDescent="0.25">
      <c r="A9" s="36">
        <f t="shared" ca="1" si="0"/>
        <v>9</v>
      </c>
      <c r="C9" s="756" t="s">
        <v>166</v>
      </c>
      <c r="D9" s="7"/>
      <c r="E9" s="7"/>
      <c r="F9" s="7"/>
      <c r="G9" s="7"/>
      <c r="H9" s="133">
        <f>'F2 Gewinn'!H9</f>
        <v>280</v>
      </c>
      <c r="I9" s="18" t="str">
        <f>Curr&amp;"/"&amp;Unit</f>
        <v>€/ha</v>
      </c>
    </row>
    <row r="10" spans="1:16" ht="15.6" thickBot="1" x14ac:dyDescent="0.3">
      <c r="A10" s="36">
        <f t="shared" ca="1" si="0"/>
        <v>10</v>
      </c>
      <c r="I10"/>
      <c r="J10"/>
    </row>
    <row r="11" spans="1:16" ht="15.6" thickTop="1" x14ac:dyDescent="0.25">
      <c r="A11" s="36">
        <f t="shared" ca="1" si="0"/>
        <v>11</v>
      </c>
      <c r="C11"/>
      <c r="D11"/>
      <c r="E11"/>
      <c r="F11"/>
      <c r="G11"/>
      <c r="H11"/>
      <c r="I11" s="35"/>
      <c r="J11" s="35"/>
      <c r="K11" s="371" t="s">
        <v>219</v>
      </c>
      <c r="L11" s="103"/>
      <c r="M11" s="102" t="s">
        <v>102</v>
      </c>
      <c r="N11" s="103"/>
      <c r="O11" s="102" t="s">
        <v>220</v>
      </c>
      <c r="P11" s="104"/>
    </row>
    <row r="12" spans="1:16" ht="15.6" thickBot="1" x14ac:dyDescent="0.3">
      <c r="A12" s="36">
        <f t="shared" ca="1" si="0"/>
        <v>12</v>
      </c>
      <c r="C12"/>
      <c r="D12"/>
      <c r="E12"/>
      <c r="F12"/>
      <c r="G12"/>
      <c r="H12"/>
      <c r="I12" s="35" t="str">
        <f>Curr&amp;"/"&amp;Unit</f>
        <v>€/ha</v>
      </c>
      <c r="J12" s="35"/>
      <c r="K12" s="637" t="s">
        <v>101</v>
      </c>
      <c r="L12" s="106" t="s">
        <v>221</v>
      </c>
      <c r="M12" s="105" t="s">
        <v>101</v>
      </c>
      <c r="N12" s="106" t="s">
        <v>221</v>
      </c>
      <c r="O12" s="105" t="s">
        <v>101</v>
      </c>
      <c r="P12" s="769" t="s">
        <v>221</v>
      </c>
    </row>
    <row r="13" spans="1:16" ht="15.6" thickTop="1" x14ac:dyDescent="0.25">
      <c r="A13" s="36">
        <f t="shared" ca="1" si="0"/>
        <v>13</v>
      </c>
      <c r="C13" s="107" t="s">
        <v>8</v>
      </c>
      <c r="D13" s="146" t="s">
        <v>20</v>
      </c>
      <c r="E13" s="108"/>
      <c r="F13" s="108"/>
      <c r="G13" s="108"/>
      <c r="H13" s="108"/>
      <c r="I13" s="108"/>
      <c r="J13" s="108"/>
      <c r="K13" s="109">
        <f>H4*H5+H6+H7</f>
        <v>1811</v>
      </c>
      <c r="L13" s="110">
        <f>$K13</f>
        <v>1811</v>
      </c>
      <c r="M13" s="109">
        <f t="shared" ref="M13:P14" si="1">$K13</f>
        <v>1811</v>
      </c>
      <c r="N13" s="110">
        <f t="shared" si="1"/>
        <v>1811</v>
      </c>
      <c r="O13" s="109">
        <f t="shared" si="1"/>
        <v>1811</v>
      </c>
      <c r="P13" s="111">
        <f t="shared" si="1"/>
        <v>1811</v>
      </c>
    </row>
    <row r="14" spans="1:16" x14ac:dyDescent="0.25">
      <c r="A14" s="36">
        <f t="shared" ca="1" si="0"/>
        <v>14</v>
      </c>
      <c r="C14" s="90" t="s">
        <v>159</v>
      </c>
      <c r="D14" s="91" t="s">
        <v>36</v>
      </c>
      <c r="E14" s="52"/>
      <c r="F14" s="52"/>
      <c r="G14" s="52"/>
      <c r="H14" s="52"/>
      <c r="I14" s="52"/>
      <c r="J14" s="52"/>
      <c r="K14" s="119">
        <f>H8</f>
        <v>1043.2460000000001</v>
      </c>
      <c r="L14" s="120">
        <f>$K14</f>
        <v>1043.2460000000001</v>
      </c>
      <c r="M14" s="119">
        <f t="shared" si="1"/>
        <v>1043.2460000000001</v>
      </c>
      <c r="N14" s="120">
        <f t="shared" si="1"/>
        <v>1043.2460000000001</v>
      </c>
      <c r="O14" s="119">
        <f t="shared" si="1"/>
        <v>1043.2460000000001</v>
      </c>
      <c r="P14" s="121">
        <f t="shared" si="1"/>
        <v>1043.2460000000001</v>
      </c>
    </row>
    <row r="15" spans="1:16" x14ac:dyDescent="0.25">
      <c r="A15" s="36">
        <f t="shared" ca="1" si="0"/>
        <v>15</v>
      </c>
      <c r="C15" s="67" t="s">
        <v>159</v>
      </c>
      <c r="D15" s="585" t="s">
        <v>22</v>
      </c>
      <c r="E15" s="640"/>
      <c r="F15" s="640"/>
      <c r="G15" s="640"/>
      <c r="H15" s="640"/>
      <c r="I15" s="640"/>
      <c r="J15" s="640"/>
      <c r="K15" s="641"/>
      <c r="L15" s="642"/>
      <c r="M15" s="641"/>
      <c r="N15" s="642"/>
      <c r="O15" s="641"/>
      <c r="P15" s="643"/>
    </row>
    <row r="16" spans="1:16" x14ac:dyDescent="0.25">
      <c r="A16" s="36">
        <f t="shared" ca="1" si="0"/>
        <v>16</v>
      </c>
      <c r="C16" s="67"/>
      <c r="D16" s="118" t="s">
        <v>136</v>
      </c>
      <c r="E16" s="335">
        <f>M4*O4</f>
        <v>125.18952000000002</v>
      </c>
      <c r="F16" s="638" t="str">
        <f>Curr</f>
        <v>€</v>
      </c>
      <c r="G16" s="638" t="s">
        <v>13</v>
      </c>
      <c r="H16" s="639">
        <f>'F2 Gewinn'!$H$17</f>
        <v>3</v>
      </c>
      <c r="I16" s="573" t="s">
        <v>161</v>
      </c>
      <c r="J16" s="573"/>
      <c r="K16" s="352" t="s">
        <v>138</v>
      </c>
      <c r="L16" s="351">
        <f>$E16*$H16%</f>
        <v>3.7556856000000005</v>
      </c>
      <c r="M16" s="350">
        <f t="shared" ref="M16:P17" si="2">$E16*$H16%</f>
        <v>3.7556856000000005</v>
      </c>
      <c r="N16" s="351">
        <f t="shared" si="2"/>
        <v>3.7556856000000005</v>
      </c>
      <c r="O16" s="350">
        <f t="shared" si="2"/>
        <v>3.7556856000000005</v>
      </c>
      <c r="P16" s="357">
        <f t="shared" si="2"/>
        <v>3.7556856000000005</v>
      </c>
    </row>
    <row r="17" spans="1:17" x14ac:dyDescent="0.25">
      <c r="A17" s="36">
        <f t="shared" ca="1" si="0"/>
        <v>17</v>
      </c>
      <c r="C17" s="122"/>
      <c r="D17" s="10" t="s">
        <v>137</v>
      </c>
      <c r="E17" s="341">
        <f>M4*P4</f>
        <v>500.75808000000006</v>
      </c>
      <c r="F17" s="342" t="str">
        <f>Curr</f>
        <v>€</v>
      </c>
      <c r="G17" s="342" t="s">
        <v>13</v>
      </c>
      <c r="H17" s="419">
        <f>'F2 Gewinn'!$H$18</f>
        <v>1.5</v>
      </c>
      <c r="I17" s="387" t="s">
        <v>161</v>
      </c>
      <c r="J17" s="387"/>
      <c r="K17" s="343" t="s">
        <v>138</v>
      </c>
      <c r="L17" s="344" t="s">
        <v>138</v>
      </c>
      <c r="M17" s="345">
        <f>$E17*$H17%</f>
        <v>7.511371200000001</v>
      </c>
      <c r="N17" s="346">
        <f t="shared" si="2"/>
        <v>7.511371200000001</v>
      </c>
      <c r="O17" s="345">
        <f t="shared" si="2"/>
        <v>7.511371200000001</v>
      </c>
      <c r="P17" s="347">
        <f t="shared" si="2"/>
        <v>7.511371200000001</v>
      </c>
    </row>
    <row r="18" spans="1:17" x14ac:dyDescent="0.25">
      <c r="A18" s="36">
        <f t="shared" ca="1" si="0"/>
        <v>18</v>
      </c>
      <c r="C18" s="67" t="s">
        <v>159</v>
      </c>
      <c r="D18" s="647" t="s">
        <v>21</v>
      </c>
      <c r="E18" s="626"/>
      <c r="F18" s="627"/>
      <c r="G18" s="627"/>
      <c r="H18" s="628"/>
      <c r="I18" s="564"/>
      <c r="J18" s="564"/>
      <c r="K18" s="629"/>
      <c r="L18" s="630"/>
      <c r="M18" s="115"/>
      <c r="N18" s="116"/>
      <c r="O18" s="115"/>
      <c r="P18" s="117"/>
    </row>
    <row r="19" spans="1:17" x14ac:dyDescent="0.25">
      <c r="A19" s="36">
        <f t="shared" ca="1" si="0"/>
        <v>19</v>
      </c>
      <c r="C19" s="67"/>
      <c r="D19" s="334" t="s">
        <v>136</v>
      </c>
      <c r="E19" s="335">
        <f>M6*O6</f>
        <v>1.1894</v>
      </c>
      <c r="F19" s="11" t="s">
        <v>169</v>
      </c>
      <c r="G19" s="11" t="s">
        <v>13</v>
      </c>
      <c r="H19" s="336">
        <f>'F2 Gewinn'!$H$21</f>
        <v>25</v>
      </c>
      <c r="I19" s="334" t="str">
        <f>Curr&amp;"/AKh"</f>
        <v>€/AKh</v>
      </c>
      <c r="J19" s="334"/>
      <c r="K19" s="337">
        <f t="shared" ref="K19:K26" si="3">$E19*$H19</f>
        <v>29.734999999999999</v>
      </c>
      <c r="L19" s="338">
        <f t="shared" ref="L19:P26" si="4">$E19*$H19</f>
        <v>29.734999999999999</v>
      </c>
      <c r="M19" s="339" t="s">
        <v>138</v>
      </c>
      <c r="N19" s="338">
        <f t="shared" si="4"/>
        <v>29.734999999999999</v>
      </c>
      <c r="O19" s="337">
        <f t="shared" si="4"/>
        <v>29.734999999999999</v>
      </c>
      <c r="P19" s="340">
        <f t="shared" si="4"/>
        <v>29.734999999999999</v>
      </c>
    </row>
    <row r="20" spans="1:17" x14ac:dyDescent="0.25">
      <c r="A20" s="36">
        <f t="shared" ca="1" si="0"/>
        <v>20</v>
      </c>
      <c r="C20" s="122"/>
      <c r="D20" s="354" t="s">
        <v>137</v>
      </c>
      <c r="E20" s="341">
        <f>M6*P6</f>
        <v>4.7576000000000001</v>
      </c>
      <c r="F20" s="10" t="s">
        <v>169</v>
      </c>
      <c r="G20" s="10" t="s">
        <v>13</v>
      </c>
      <c r="H20" s="355">
        <f>'F2 Gewinn'!$H$22</f>
        <v>30</v>
      </c>
      <c r="I20" s="354" t="str">
        <f>Curr&amp;"/AKh"</f>
        <v>€/AKh</v>
      </c>
      <c r="J20" s="354"/>
      <c r="K20" s="343">
        <f t="shared" si="3"/>
        <v>142.72800000000001</v>
      </c>
      <c r="L20" s="344">
        <f t="shared" si="4"/>
        <v>142.72800000000001</v>
      </c>
      <c r="M20" s="343" t="s">
        <v>138</v>
      </c>
      <c r="N20" s="344" t="s">
        <v>138</v>
      </c>
      <c r="O20" s="345">
        <f t="shared" si="4"/>
        <v>142.72800000000001</v>
      </c>
      <c r="P20" s="347">
        <f t="shared" si="4"/>
        <v>142.72800000000001</v>
      </c>
    </row>
    <row r="21" spans="1:17" x14ac:dyDescent="0.25">
      <c r="A21" s="36">
        <f t="shared" ca="1" si="0"/>
        <v>21</v>
      </c>
      <c r="C21" s="67" t="s">
        <v>159</v>
      </c>
      <c r="D21" s="325" t="s">
        <v>25</v>
      </c>
      <c r="E21" s="626"/>
      <c r="F21" s="2"/>
      <c r="G21" s="2"/>
      <c r="H21" s="631"/>
      <c r="I21" s="13"/>
      <c r="J21" s="13"/>
      <c r="K21" s="629"/>
      <c r="L21" s="630"/>
      <c r="M21" s="629"/>
      <c r="N21" s="630"/>
      <c r="O21" s="115"/>
      <c r="P21" s="117"/>
    </row>
    <row r="22" spans="1:17" x14ac:dyDescent="0.25">
      <c r="A22" s="36">
        <f t="shared" ca="1" si="0"/>
        <v>22</v>
      </c>
      <c r="C22" s="67"/>
      <c r="D22" s="118" t="s">
        <v>136</v>
      </c>
      <c r="E22" s="348">
        <f>M8*O8</f>
        <v>0.65</v>
      </c>
      <c r="F22" s="11" t="s">
        <v>170</v>
      </c>
      <c r="G22" s="11" t="s">
        <v>13</v>
      </c>
      <c r="H22" s="349">
        <f>'F2 Gewinn'!$H$25</f>
        <v>300</v>
      </c>
      <c r="I22" s="334" t="str">
        <f>Curr&amp;"/ha"</f>
        <v>€/ha</v>
      </c>
      <c r="J22" s="334"/>
      <c r="K22" s="350">
        <f t="shared" si="3"/>
        <v>195</v>
      </c>
      <c r="L22" s="351">
        <f t="shared" si="4"/>
        <v>195</v>
      </c>
      <c r="M22" s="350">
        <f t="shared" si="4"/>
        <v>195</v>
      </c>
      <c r="N22" s="351">
        <f t="shared" si="4"/>
        <v>195</v>
      </c>
      <c r="O22" s="352" t="s">
        <v>138</v>
      </c>
      <c r="P22" s="353">
        <f t="shared" si="4"/>
        <v>195</v>
      </c>
    </row>
    <row r="23" spans="1:17" x14ac:dyDescent="0.25">
      <c r="A23" s="36">
        <f t="shared" ca="1" si="0"/>
        <v>23</v>
      </c>
      <c r="C23" s="122"/>
      <c r="D23" s="10" t="s">
        <v>137</v>
      </c>
      <c r="E23" s="358">
        <f>M8*P8</f>
        <v>0.35</v>
      </c>
      <c r="F23" s="10" t="s">
        <v>170</v>
      </c>
      <c r="G23" s="10" t="s">
        <v>13</v>
      </c>
      <c r="H23" s="359">
        <f>'F2 Gewinn'!$H$26</f>
        <v>300</v>
      </c>
      <c r="I23" s="354" t="str">
        <f>Curr&amp;"/ha"</f>
        <v>€/ha</v>
      </c>
      <c r="J23" s="354"/>
      <c r="K23" s="345">
        <f t="shared" si="3"/>
        <v>105</v>
      </c>
      <c r="L23" s="346">
        <f t="shared" si="4"/>
        <v>105</v>
      </c>
      <c r="M23" s="345">
        <f t="shared" si="4"/>
        <v>105</v>
      </c>
      <c r="N23" s="346">
        <f t="shared" si="4"/>
        <v>105</v>
      </c>
      <c r="O23" s="343" t="s">
        <v>138</v>
      </c>
      <c r="P23" s="360" t="s">
        <v>138</v>
      </c>
    </row>
    <row r="24" spans="1:17" x14ac:dyDescent="0.25">
      <c r="A24" s="36">
        <f t="shared" ca="1" si="0"/>
        <v>24</v>
      </c>
      <c r="C24" s="67" t="s">
        <v>159</v>
      </c>
      <c r="D24" s="647" t="s">
        <v>24</v>
      </c>
      <c r="E24" s="632"/>
      <c r="F24" s="2"/>
      <c r="G24" s="2"/>
      <c r="H24" s="633"/>
      <c r="I24" s="13"/>
      <c r="J24" s="13"/>
      <c r="K24" s="115"/>
      <c r="L24" s="116"/>
      <c r="M24" s="115"/>
      <c r="N24" s="116"/>
      <c r="O24" s="629"/>
      <c r="P24" s="634"/>
    </row>
    <row r="25" spans="1:17" x14ac:dyDescent="0.25">
      <c r="A25" s="36">
        <f t="shared" ca="1" si="0"/>
        <v>25</v>
      </c>
      <c r="C25" s="67"/>
      <c r="D25" s="11" t="s">
        <v>136</v>
      </c>
      <c r="E25" s="348">
        <f>'F2 Gewinn'!$E$28</f>
        <v>0</v>
      </c>
      <c r="F25" s="388" t="str">
        <f>'F2 Gewinn'!$F$28</f>
        <v>____</v>
      </c>
      <c r="G25" s="388" t="s">
        <v>13</v>
      </c>
      <c r="H25" s="349">
        <f>'F2 Gewinn'!$H$28</f>
        <v>0</v>
      </c>
      <c r="I25" s="334" t="str">
        <f>'F2 Gewinn'!$I$28</f>
        <v>€/____</v>
      </c>
      <c r="J25" s="334"/>
      <c r="K25" s="339">
        <f t="shared" si="3"/>
        <v>0</v>
      </c>
      <c r="L25" s="356">
        <f t="shared" si="4"/>
        <v>0</v>
      </c>
      <c r="M25" s="350">
        <f t="shared" si="4"/>
        <v>0</v>
      </c>
      <c r="N25" s="351">
        <f t="shared" si="4"/>
        <v>0</v>
      </c>
      <c r="O25" s="350">
        <f t="shared" si="4"/>
        <v>0</v>
      </c>
      <c r="P25" s="357">
        <f t="shared" si="4"/>
        <v>0</v>
      </c>
    </row>
    <row r="26" spans="1:17" ht="15.6" thickBot="1" x14ac:dyDescent="0.3">
      <c r="A26" s="36">
        <f t="shared" ca="1" si="0"/>
        <v>26</v>
      </c>
      <c r="C26" s="125"/>
      <c r="D26" s="326" t="s">
        <v>137</v>
      </c>
      <c r="E26" s="372">
        <f>'F2 Gewinn'!$E$29</f>
        <v>0</v>
      </c>
      <c r="F26" s="374" t="str">
        <f>'F2 Gewinn'!$F$29</f>
        <v xml:space="preserve">____ </v>
      </c>
      <c r="G26" s="374" t="s">
        <v>13</v>
      </c>
      <c r="H26" s="327">
        <f>'F2 Gewinn'!$H$28</f>
        <v>0</v>
      </c>
      <c r="I26" s="328" t="str">
        <f>'F2 Gewinn'!$I$29</f>
        <v xml:space="preserve">€/____ </v>
      </c>
      <c r="J26" s="328"/>
      <c r="K26" s="329">
        <f t="shared" si="3"/>
        <v>0</v>
      </c>
      <c r="L26" s="330">
        <f t="shared" si="4"/>
        <v>0</v>
      </c>
      <c r="M26" s="331">
        <f t="shared" si="4"/>
        <v>0</v>
      </c>
      <c r="N26" s="332">
        <f t="shared" si="4"/>
        <v>0</v>
      </c>
      <c r="O26" s="331">
        <f t="shared" si="4"/>
        <v>0</v>
      </c>
      <c r="P26" s="333">
        <f t="shared" si="4"/>
        <v>0</v>
      </c>
    </row>
    <row r="27" spans="1:17" ht="15.6" thickTop="1" x14ac:dyDescent="0.25">
      <c r="A27" s="36">
        <f t="shared" ca="1" si="0"/>
        <v>27</v>
      </c>
      <c r="C27" s="67" t="s">
        <v>9</v>
      </c>
      <c r="D27" s="369" t="s">
        <v>63</v>
      </c>
      <c r="E27" s="773"/>
      <c r="F27" s="774"/>
      <c r="G27" s="774"/>
      <c r="H27" s="775"/>
      <c r="I27" s="13"/>
      <c r="J27" s="13"/>
      <c r="K27" s="635"/>
      <c r="L27" s="636"/>
      <c r="M27" s="115"/>
      <c r="N27" s="116"/>
      <c r="O27" s="115"/>
      <c r="P27" s="117"/>
      <c r="Q27" s="2"/>
    </row>
    <row r="28" spans="1:17" x14ac:dyDescent="0.25">
      <c r="A28" s="36">
        <f t="shared" ca="1" si="0"/>
        <v>28</v>
      </c>
      <c r="C28" s="67"/>
      <c r="D28" s="776" t="s">
        <v>64</v>
      </c>
      <c r="E28" s="776"/>
      <c r="F28" s="776"/>
      <c r="G28" s="770"/>
      <c r="H28" s="770" t="str">
        <f>Curr&amp;"  je"</f>
        <v>€  je</v>
      </c>
      <c r="I28" s="771" t="str">
        <f>Unit</f>
        <v>ha</v>
      </c>
      <c r="J28" s="772"/>
      <c r="K28" s="130">
        <f t="shared" ref="K28:P28" si="5">K13-SUM(K14:K26)</f>
        <v>295.29099999999994</v>
      </c>
      <c r="L28" s="131">
        <f t="shared" si="5"/>
        <v>291.53531439999983</v>
      </c>
      <c r="M28" s="130">
        <f t="shared" si="5"/>
        <v>456.48694319999981</v>
      </c>
      <c r="N28" s="131">
        <f t="shared" si="5"/>
        <v>426.75194319999991</v>
      </c>
      <c r="O28" s="130">
        <f t="shared" si="5"/>
        <v>584.02394319999985</v>
      </c>
      <c r="P28" s="132">
        <f t="shared" si="5"/>
        <v>389.02394319999985</v>
      </c>
    </row>
    <row r="29" spans="1:17" ht="9.75" customHeight="1" x14ac:dyDescent="0.25">
      <c r="A29" s="36">
        <f t="shared" ca="1" si="0"/>
        <v>29</v>
      </c>
      <c r="C29" s="67"/>
      <c r="D29" s="778"/>
      <c r="E29" s="778"/>
      <c r="F29" s="778"/>
      <c r="G29" s="779"/>
      <c r="H29" s="779"/>
      <c r="I29" s="780"/>
      <c r="J29" s="781"/>
      <c r="K29" s="978" t="str">
        <f>Curr &amp;" / "&amp; Unit</f>
        <v>€ / ha</v>
      </c>
      <c r="L29" s="979"/>
      <c r="M29" s="978" t="str">
        <f>"AKh" &amp;" / "&amp; Unit</f>
        <v>AKh / ha</v>
      </c>
      <c r="N29" s="979"/>
      <c r="O29" s="978" t="str">
        <f>"ha" &amp;" / "&amp; Unit</f>
        <v>ha / ha</v>
      </c>
      <c r="P29" s="980"/>
    </row>
    <row r="30" spans="1:17" ht="11.25" customHeight="1" x14ac:dyDescent="0.25">
      <c r="A30" s="36">
        <f t="shared" ca="1" si="0"/>
        <v>30</v>
      </c>
      <c r="C30" s="67"/>
      <c r="D30" s="776" t="s">
        <v>204</v>
      </c>
      <c r="E30" s="776"/>
      <c r="F30" s="776"/>
      <c r="G30" s="797"/>
      <c r="H30" s="797" t="str">
        <f>Curr&amp;" | AKh | ha   je"</f>
        <v>€ | AKh | ha   je</v>
      </c>
      <c r="I30" s="771" t="str">
        <f>Unit</f>
        <v>ha</v>
      </c>
      <c r="J30" s="772"/>
      <c r="K30" s="798">
        <f>E17+E16</f>
        <v>625.94760000000008</v>
      </c>
      <c r="L30" s="799">
        <f>E17</f>
        <v>500.75808000000006</v>
      </c>
      <c r="M30" s="798">
        <f>E20+E19</f>
        <v>5.9470000000000001</v>
      </c>
      <c r="N30" s="799">
        <f>E20</f>
        <v>4.7576000000000001</v>
      </c>
      <c r="O30" s="798">
        <f>E23+E22</f>
        <v>1</v>
      </c>
      <c r="P30" s="800">
        <f>E23</f>
        <v>0.35</v>
      </c>
    </row>
    <row r="31" spans="1:17" ht="9.75" customHeight="1" x14ac:dyDescent="0.25">
      <c r="A31" s="36">
        <f t="shared" ca="1" si="0"/>
        <v>31</v>
      </c>
      <c r="C31" s="67"/>
      <c r="D31" s="778"/>
      <c r="E31" s="778"/>
      <c r="F31" s="778"/>
      <c r="G31" s="779"/>
      <c r="H31" s="779"/>
      <c r="I31" s="780"/>
      <c r="J31" s="781"/>
      <c r="K31" s="975" t="s">
        <v>69</v>
      </c>
      <c r="L31" s="976"/>
      <c r="M31" s="975" t="str">
        <f>Curr&amp;" / AKh"</f>
        <v>€ / AKh</v>
      </c>
      <c r="N31" s="976"/>
      <c r="O31" s="975" t="str">
        <f>Curr &amp; " / ha"</f>
        <v>€ / ha</v>
      </c>
      <c r="P31" s="977"/>
    </row>
    <row r="32" spans="1:17" ht="11.25" customHeight="1" x14ac:dyDescent="0.25">
      <c r="A32" s="36">
        <f t="shared" ca="1" si="0"/>
        <v>32</v>
      </c>
      <c r="C32" s="67"/>
      <c r="D32" s="782" t="s">
        <v>65</v>
      </c>
      <c r="E32" s="782"/>
      <c r="F32" s="782"/>
      <c r="G32" s="783"/>
      <c r="H32" s="783" t="str">
        <f>"% | "&amp;Curr&amp;"   je"</f>
        <v>% | €   je</v>
      </c>
      <c r="I32" s="784" t="s">
        <v>72</v>
      </c>
      <c r="J32" s="785"/>
      <c r="K32" s="801">
        <f t="shared" ref="K32:P32" si="6">IF(K30=0,0,K28/K30)</f>
        <v>0.47175035098784612</v>
      </c>
      <c r="L32" s="802">
        <f t="shared" si="6"/>
        <v>0.58218793873480745</v>
      </c>
      <c r="M32" s="803">
        <f t="shared" si="6"/>
        <v>76.759196771481385</v>
      </c>
      <c r="N32" s="804">
        <f t="shared" si="6"/>
        <v>89.698995964351752</v>
      </c>
      <c r="O32" s="803">
        <f t="shared" si="6"/>
        <v>584.02394319999985</v>
      </c>
      <c r="P32" s="805">
        <f t="shared" si="6"/>
        <v>1111.4969805714281</v>
      </c>
    </row>
    <row r="33" spans="1:16" ht="15.6" thickBot="1" x14ac:dyDescent="0.3">
      <c r="A33" s="36">
        <f t="shared" ca="1" si="0"/>
        <v>33</v>
      </c>
      <c r="C33" s="125"/>
      <c r="D33" s="777" t="s">
        <v>62</v>
      </c>
      <c r="E33" s="758"/>
      <c r="F33" s="306"/>
      <c r="G33" s="306"/>
      <c r="H33" s="521">
        <f>$H$9</f>
        <v>280</v>
      </c>
      <c r="I33" s="307" t="str">
        <f>Curr&amp;"/"&amp;Unit</f>
        <v>€/ha</v>
      </c>
      <c r="J33" s="307"/>
      <c r="K33" s="308">
        <f t="shared" ref="K33:P33" si="7">IF($H$33=0,0,IF(K30=0,0,(K28+$H$33)/K30))</f>
        <v>0.91907213958484679</v>
      </c>
      <c r="L33" s="309">
        <f t="shared" si="7"/>
        <v>1.1413401744810583</v>
      </c>
      <c r="M33" s="310">
        <f t="shared" si="7"/>
        <v>123.84175940810489</v>
      </c>
      <c r="N33" s="311">
        <f t="shared" si="7"/>
        <v>148.55219926013115</v>
      </c>
      <c r="O33" s="310">
        <f t="shared" si="7"/>
        <v>864.02394319999985</v>
      </c>
      <c r="P33" s="312">
        <f t="shared" si="7"/>
        <v>1911.4969805714284</v>
      </c>
    </row>
    <row r="34" spans="1:16" ht="15.6" thickTop="1" x14ac:dyDescent="0.25">
      <c r="A34" s="36">
        <f t="shared" ca="1" si="0"/>
        <v>34</v>
      </c>
      <c r="C34" s="649" t="s">
        <v>37</v>
      </c>
      <c r="D34" s="325"/>
      <c r="E34" s="2"/>
      <c r="F34" s="2"/>
      <c r="G34" s="2"/>
      <c r="H34" s="2"/>
      <c r="I34" s="2"/>
      <c r="J34" s="2"/>
      <c r="K34" s="115"/>
      <c r="L34" s="116"/>
      <c r="M34" s="115"/>
      <c r="N34" s="116"/>
      <c r="O34" s="115"/>
      <c r="P34" s="117"/>
    </row>
    <row r="35" spans="1:16" x14ac:dyDescent="0.25">
      <c r="A35" s="36">
        <f t="shared" ca="1" si="0"/>
        <v>35</v>
      </c>
      <c r="C35" s="67" t="s">
        <v>159</v>
      </c>
      <c r="D35" s="325" t="s">
        <v>43</v>
      </c>
      <c r="E35" s="2"/>
      <c r="F35" s="2"/>
      <c r="G35" s="2"/>
      <c r="H35" s="2"/>
      <c r="I35" s="2"/>
      <c r="J35" s="2"/>
      <c r="K35" s="115"/>
      <c r="L35" s="116"/>
      <c r="M35" s="115"/>
      <c r="N35" s="116"/>
      <c r="O35" s="115"/>
      <c r="P35" s="117"/>
    </row>
    <row r="36" spans="1:16" x14ac:dyDescent="0.25">
      <c r="A36" s="36">
        <f t="shared" ca="1" si="0"/>
        <v>36</v>
      </c>
      <c r="C36" s="67"/>
      <c r="D36" s="118" t="s">
        <v>214</v>
      </c>
      <c r="E36" s="168">
        <f>'F2 Gewinn'!$E$34</f>
        <v>2200</v>
      </c>
      <c r="F36" s="88" t="str">
        <f>Curr&amp;" (A)"</f>
        <v>€ (A)</v>
      </c>
      <c r="G36" s="88" t="s">
        <v>13</v>
      </c>
      <c r="H36" s="460">
        <f>'F2 Gewinn'!$H$34</f>
        <v>10</v>
      </c>
      <c r="I36" s="69" t="s">
        <v>108</v>
      </c>
      <c r="J36" s="69"/>
      <c r="K36" s="112">
        <f>$E36*$H36%</f>
        <v>220</v>
      </c>
      <c r="L36" s="113">
        <f t="shared" ref="L36:P37" si="8">$E36*$H36%</f>
        <v>220</v>
      </c>
      <c r="M36" s="112">
        <f t="shared" si="8"/>
        <v>220</v>
      </c>
      <c r="N36" s="113">
        <f t="shared" si="8"/>
        <v>220</v>
      </c>
      <c r="O36" s="112">
        <f t="shared" si="8"/>
        <v>220</v>
      </c>
      <c r="P36" s="114">
        <f t="shared" si="8"/>
        <v>220</v>
      </c>
    </row>
    <row r="37" spans="1:16" x14ac:dyDescent="0.25">
      <c r="A37" s="36">
        <f t="shared" ca="1" si="0"/>
        <v>37</v>
      </c>
      <c r="C37" s="122"/>
      <c r="D37" s="15" t="s">
        <v>215</v>
      </c>
      <c r="E37" s="319">
        <f>'F2 Gewinn'!$E$35</f>
        <v>2000</v>
      </c>
      <c r="F37" s="320" t="str">
        <f>Curr&amp;" (A)"</f>
        <v>€ (A)</v>
      </c>
      <c r="G37" s="320" t="s">
        <v>13</v>
      </c>
      <c r="H37" s="461">
        <f>'F2 Gewinn'!$H$35</f>
        <v>5</v>
      </c>
      <c r="I37" s="7" t="s">
        <v>108</v>
      </c>
      <c r="J37" s="7"/>
      <c r="K37" s="299">
        <f>$E37*$H37%</f>
        <v>100</v>
      </c>
      <c r="L37" s="300">
        <f t="shared" si="8"/>
        <v>100</v>
      </c>
      <c r="M37" s="299">
        <f t="shared" si="8"/>
        <v>100</v>
      </c>
      <c r="N37" s="300">
        <f t="shared" si="8"/>
        <v>100</v>
      </c>
      <c r="O37" s="299">
        <f t="shared" si="8"/>
        <v>100</v>
      </c>
      <c r="P37" s="301">
        <f t="shared" si="8"/>
        <v>100</v>
      </c>
    </row>
    <row r="38" spans="1:16" x14ac:dyDescent="0.25">
      <c r="A38" s="36">
        <f t="shared" ca="1" si="0"/>
        <v>38</v>
      </c>
      <c r="C38" s="67" t="s">
        <v>159</v>
      </c>
      <c r="D38" s="585" t="s">
        <v>23</v>
      </c>
      <c r="E38" s="644"/>
      <c r="F38" s="645"/>
      <c r="G38" s="645"/>
      <c r="H38" s="646"/>
      <c r="I38" s="640"/>
      <c r="J38" s="640"/>
      <c r="K38" s="641"/>
      <c r="L38" s="642"/>
      <c r="M38" s="641"/>
      <c r="N38" s="642"/>
      <c r="O38" s="641"/>
      <c r="P38" s="643"/>
    </row>
    <row r="39" spans="1:16" x14ac:dyDescent="0.25">
      <c r="A39" s="36">
        <f t="shared" ca="1" si="0"/>
        <v>39</v>
      </c>
      <c r="C39" s="67"/>
      <c r="D39" s="118" t="s">
        <v>136</v>
      </c>
      <c r="E39" s="335">
        <f>M5*O5</f>
        <v>1050</v>
      </c>
      <c r="F39" s="638" t="str">
        <f>Curr</f>
        <v>€</v>
      </c>
      <c r="G39" s="638" t="s">
        <v>13</v>
      </c>
      <c r="H39" s="639">
        <f>'F2 Gewinn'!$H$37</f>
        <v>1.5</v>
      </c>
      <c r="I39" s="573" t="s">
        <v>161</v>
      </c>
      <c r="J39" s="573"/>
      <c r="K39" s="352" t="s">
        <v>138</v>
      </c>
      <c r="L39" s="351">
        <f>$E39*$H39%</f>
        <v>15.75</v>
      </c>
      <c r="M39" s="350">
        <f t="shared" ref="M39:P40" si="9">$E39*$H39%</f>
        <v>15.75</v>
      </c>
      <c r="N39" s="351">
        <f t="shared" si="9"/>
        <v>15.75</v>
      </c>
      <c r="O39" s="350">
        <f t="shared" si="9"/>
        <v>15.75</v>
      </c>
      <c r="P39" s="357">
        <f t="shared" si="9"/>
        <v>15.75</v>
      </c>
    </row>
    <row r="40" spans="1:16" x14ac:dyDescent="0.25">
      <c r="A40" s="36">
        <f t="shared" ca="1" si="0"/>
        <v>40</v>
      </c>
      <c r="C40" s="122"/>
      <c r="D40" s="10" t="s">
        <v>137</v>
      </c>
      <c r="E40" s="341">
        <f>M5*P5</f>
        <v>1050</v>
      </c>
      <c r="F40" s="342" t="str">
        <f>Curr</f>
        <v>€</v>
      </c>
      <c r="G40" s="342" t="s">
        <v>13</v>
      </c>
      <c r="H40" s="419">
        <f>'F2 Gewinn'!$H$38</f>
        <v>1.5</v>
      </c>
      <c r="I40" s="387" t="s">
        <v>161</v>
      </c>
      <c r="J40" s="387"/>
      <c r="K40" s="362" t="s">
        <v>138</v>
      </c>
      <c r="L40" s="363" t="s">
        <v>138</v>
      </c>
      <c r="M40" s="345">
        <f t="shared" si="9"/>
        <v>15.75</v>
      </c>
      <c r="N40" s="346">
        <f t="shared" si="9"/>
        <v>15.75</v>
      </c>
      <c r="O40" s="345">
        <f t="shared" si="9"/>
        <v>15.75</v>
      </c>
      <c r="P40" s="347">
        <f t="shared" si="9"/>
        <v>15.75</v>
      </c>
    </row>
    <row r="41" spans="1:16" x14ac:dyDescent="0.25">
      <c r="A41" s="36">
        <f t="shared" ca="1" si="0"/>
        <v>41</v>
      </c>
      <c r="C41" s="67" t="s">
        <v>159</v>
      </c>
      <c r="D41" s="647" t="s">
        <v>39</v>
      </c>
      <c r="E41" s="626"/>
      <c r="F41" s="627"/>
      <c r="G41" s="627"/>
      <c r="H41" s="628"/>
      <c r="I41" s="564"/>
      <c r="J41" s="564"/>
      <c r="K41" s="635"/>
      <c r="L41" s="636"/>
      <c r="M41" s="115"/>
      <c r="N41" s="116"/>
      <c r="O41" s="115"/>
      <c r="P41" s="117"/>
    </row>
    <row r="42" spans="1:16" x14ac:dyDescent="0.25">
      <c r="A42" s="36">
        <f t="shared" ca="1" si="0"/>
        <v>42</v>
      </c>
      <c r="C42" s="67"/>
      <c r="D42" s="334" t="s">
        <v>136</v>
      </c>
      <c r="E42" s="335">
        <f>M7*O7</f>
        <v>0</v>
      </c>
      <c r="F42" s="11" t="s">
        <v>169</v>
      </c>
      <c r="G42" s="11" t="s">
        <v>13</v>
      </c>
      <c r="H42" s="361">
        <f>'F2 Gewinn'!$H$40</f>
        <v>0</v>
      </c>
      <c r="I42" s="334" t="str">
        <f>Curr&amp;"/AKh"</f>
        <v>€/AKh</v>
      </c>
      <c r="J42" s="334"/>
      <c r="K42" s="339">
        <f>$E42*$H42</f>
        <v>0</v>
      </c>
      <c r="L42" s="356">
        <f>$E42*$H42</f>
        <v>0</v>
      </c>
      <c r="M42" s="339" t="s">
        <v>138</v>
      </c>
      <c r="N42" s="356">
        <f>$E42*$H42</f>
        <v>0</v>
      </c>
      <c r="O42" s="337">
        <f>$E42*$H42</f>
        <v>0</v>
      </c>
      <c r="P42" s="340">
        <f>$E42*$H42</f>
        <v>0</v>
      </c>
    </row>
    <row r="43" spans="1:16" x14ac:dyDescent="0.25">
      <c r="A43" s="36">
        <f t="shared" ca="1" si="0"/>
        <v>43</v>
      </c>
      <c r="C43" s="122"/>
      <c r="D43" s="354" t="s">
        <v>137</v>
      </c>
      <c r="E43" s="341">
        <f>M7*P7</f>
        <v>2</v>
      </c>
      <c r="F43" s="10" t="s">
        <v>169</v>
      </c>
      <c r="G43" s="10" t="s">
        <v>13</v>
      </c>
      <c r="H43" s="367">
        <f>'F2 Gewinn'!$H$41</f>
        <v>30</v>
      </c>
      <c r="I43" s="368" t="str">
        <f>Curr&amp;"/AKh"</f>
        <v>€/AKh</v>
      </c>
      <c r="J43" s="368"/>
      <c r="K43" s="362">
        <f>$E43*$H43</f>
        <v>60</v>
      </c>
      <c r="L43" s="363">
        <f>$E43*$H43</f>
        <v>60</v>
      </c>
      <c r="M43" s="343" t="s">
        <v>138</v>
      </c>
      <c r="N43" s="344" t="s">
        <v>138</v>
      </c>
      <c r="O43" s="345">
        <f>$E43*$H43</f>
        <v>60</v>
      </c>
      <c r="P43" s="347">
        <f>$E43*$H43</f>
        <v>60</v>
      </c>
    </row>
    <row r="44" spans="1:16" x14ac:dyDescent="0.25">
      <c r="A44" s="36">
        <f t="shared" ca="1" si="0"/>
        <v>44</v>
      </c>
      <c r="C44" s="67" t="s">
        <v>159</v>
      </c>
      <c r="D44" s="68" t="s">
        <v>216</v>
      </c>
      <c r="E44" s="69"/>
      <c r="F44" s="69"/>
      <c r="G44" s="69"/>
      <c r="H44" s="170">
        <f>'F2 Gewinn'!$H$42</f>
        <v>40</v>
      </c>
      <c r="I44" s="68" t="str">
        <f>Curr&amp;"/"&amp;Unit</f>
        <v>€/ha</v>
      </c>
      <c r="J44" s="68"/>
      <c r="K44" s="112">
        <f t="shared" ref="K44:P44" si="10">$H$44</f>
        <v>40</v>
      </c>
      <c r="L44" s="113">
        <f t="shared" si="10"/>
        <v>40</v>
      </c>
      <c r="M44" s="364">
        <f t="shared" si="10"/>
        <v>40</v>
      </c>
      <c r="N44" s="365">
        <f t="shared" si="10"/>
        <v>40</v>
      </c>
      <c r="O44" s="364">
        <f t="shared" si="10"/>
        <v>40</v>
      </c>
      <c r="P44" s="366">
        <f t="shared" si="10"/>
        <v>40</v>
      </c>
    </row>
    <row r="45" spans="1:16" ht="15.6" thickBot="1" x14ac:dyDescent="0.3">
      <c r="A45" s="36">
        <f t="shared" ca="1" si="0"/>
        <v>45</v>
      </c>
      <c r="C45" s="125" t="s">
        <v>159</v>
      </c>
      <c r="D45" s="127" t="s">
        <v>217</v>
      </c>
      <c r="E45" s="126"/>
      <c r="F45" s="126"/>
      <c r="G45" s="126"/>
      <c r="H45" s="302">
        <f>'F2 Gewinn'!$H$43</f>
        <v>50</v>
      </c>
      <c r="I45" s="127" t="str">
        <f>Curr&amp;"/"&amp;Unit</f>
        <v>€/ha</v>
      </c>
      <c r="J45" s="127"/>
      <c r="K45" s="128">
        <f t="shared" ref="K45:P45" si="11">$H$45</f>
        <v>50</v>
      </c>
      <c r="L45" s="129">
        <f t="shared" si="11"/>
        <v>50</v>
      </c>
      <c r="M45" s="303">
        <f t="shared" si="11"/>
        <v>50</v>
      </c>
      <c r="N45" s="304">
        <f t="shared" si="11"/>
        <v>50</v>
      </c>
      <c r="O45" s="303">
        <f t="shared" si="11"/>
        <v>50</v>
      </c>
      <c r="P45" s="305">
        <f t="shared" si="11"/>
        <v>50</v>
      </c>
    </row>
    <row r="46" spans="1:16" ht="15.6" thickTop="1" x14ac:dyDescent="0.25">
      <c r="A46" s="36">
        <f t="shared" ca="1" si="0"/>
        <v>46</v>
      </c>
      <c r="C46" s="67" t="s">
        <v>9</v>
      </c>
      <c r="D46" s="369" t="s">
        <v>66</v>
      </c>
      <c r="E46" s="773"/>
      <c r="F46" s="774"/>
      <c r="G46" s="774"/>
      <c r="H46" s="775"/>
      <c r="I46" s="13"/>
      <c r="J46" s="13"/>
      <c r="K46" s="635"/>
      <c r="L46" s="636"/>
      <c r="M46" s="115"/>
      <c r="N46" s="116"/>
      <c r="O46" s="115"/>
      <c r="P46" s="117"/>
    </row>
    <row r="47" spans="1:16" x14ac:dyDescent="0.25">
      <c r="A47" s="36">
        <f t="shared" ca="1" si="0"/>
        <v>47</v>
      </c>
      <c r="C47" s="67"/>
      <c r="D47" s="776" t="s">
        <v>64</v>
      </c>
      <c r="E47" s="776"/>
      <c r="F47" s="776"/>
      <c r="G47" s="770"/>
      <c r="H47" s="770" t="str">
        <f>Curr&amp;"  je"</f>
        <v>€  je</v>
      </c>
      <c r="I47" s="771" t="str">
        <f>Unit</f>
        <v>ha</v>
      </c>
      <c r="J47" s="772"/>
      <c r="K47" s="130">
        <f t="shared" ref="K47:P47" si="12">K28-SUM(K36:K45)</f>
        <v>-174.70900000000006</v>
      </c>
      <c r="L47" s="131">
        <f t="shared" si="12"/>
        <v>-194.21468560000017</v>
      </c>
      <c r="M47" s="130">
        <f t="shared" si="12"/>
        <v>14.986943199999814</v>
      </c>
      <c r="N47" s="131">
        <f t="shared" si="12"/>
        <v>-14.748056800000086</v>
      </c>
      <c r="O47" s="130">
        <f t="shared" si="12"/>
        <v>82.523943199999849</v>
      </c>
      <c r="P47" s="132">
        <f t="shared" si="12"/>
        <v>-112.47605680000015</v>
      </c>
    </row>
    <row r="48" spans="1:16" ht="9.75" customHeight="1" x14ac:dyDescent="0.25">
      <c r="A48" s="36">
        <f t="shared" ca="1" si="0"/>
        <v>48</v>
      </c>
      <c r="C48" s="67"/>
      <c r="D48" s="778"/>
      <c r="E48" s="778"/>
      <c r="F48" s="778"/>
      <c r="G48" s="779"/>
      <c r="H48" s="779"/>
      <c r="I48" s="780"/>
      <c r="J48" s="781"/>
      <c r="K48" s="978" t="str">
        <f>Curr &amp;" / "&amp; Unit</f>
        <v>€ / ha</v>
      </c>
      <c r="L48" s="979"/>
      <c r="M48" s="978" t="str">
        <f>"AKh" &amp;" / "&amp; Unit</f>
        <v>AKh / ha</v>
      </c>
      <c r="N48" s="979"/>
      <c r="O48" s="978" t="str">
        <f>"ha" &amp;" / "&amp; Unit</f>
        <v>ha / ha</v>
      </c>
      <c r="P48" s="980"/>
    </row>
    <row r="49" spans="1:16" ht="12" customHeight="1" x14ac:dyDescent="0.25">
      <c r="A49" s="36">
        <f t="shared" ca="1" si="0"/>
        <v>49</v>
      </c>
      <c r="C49" s="67"/>
      <c r="D49" s="776" t="s">
        <v>204</v>
      </c>
      <c r="E49" s="776"/>
      <c r="F49" s="776"/>
      <c r="G49" s="797"/>
      <c r="H49" s="797" t="str">
        <f>Curr&amp;" | AKh | ha   je"</f>
        <v>€ | AKh | ha   je</v>
      </c>
      <c r="I49" s="771" t="str">
        <f>Unit</f>
        <v>ha</v>
      </c>
      <c r="J49" s="772"/>
      <c r="K49" s="130">
        <f>E17+E16+E40+E39</f>
        <v>2725.9476</v>
      </c>
      <c r="L49" s="131">
        <f>E17+E40</f>
        <v>1550.7580800000001</v>
      </c>
      <c r="M49" s="130">
        <f>E20+E19+E43+E42</f>
        <v>7.9470000000000001</v>
      </c>
      <c r="N49" s="131">
        <f>E20+E43</f>
        <v>6.7576000000000001</v>
      </c>
      <c r="O49" s="130">
        <f>E23+E22</f>
        <v>1</v>
      </c>
      <c r="P49" s="132">
        <f>E23</f>
        <v>0.35</v>
      </c>
    </row>
    <row r="50" spans="1:16" ht="9.75" customHeight="1" x14ac:dyDescent="0.25">
      <c r="A50" s="36">
        <f t="shared" ca="1" si="0"/>
        <v>50</v>
      </c>
      <c r="C50" s="67"/>
      <c r="D50" s="778"/>
      <c r="E50" s="778"/>
      <c r="F50" s="778"/>
      <c r="G50" s="779"/>
      <c r="H50" s="779"/>
      <c r="I50" s="780"/>
      <c r="J50" s="781"/>
      <c r="K50" s="975" t="s">
        <v>69</v>
      </c>
      <c r="L50" s="976"/>
      <c r="M50" s="975" t="str">
        <f>Curr&amp;" / AKh"</f>
        <v>€ / AKh</v>
      </c>
      <c r="N50" s="976"/>
      <c r="O50" s="975" t="str">
        <f>Curr &amp; " / ha"</f>
        <v>€ / ha</v>
      </c>
      <c r="P50" s="977"/>
    </row>
    <row r="51" spans="1:16" ht="11.25" customHeight="1" x14ac:dyDescent="0.25">
      <c r="A51" s="36">
        <f t="shared" ca="1" si="0"/>
        <v>51</v>
      </c>
      <c r="C51" s="67"/>
      <c r="D51" s="782" t="s">
        <v>65</v>
      </c>
      <c r="E51" s="782"/>
      <c r="F51" s="782"/>
      <c r="G51" s="783"/>
      <c r="H51" s="783" t="str">
        <f>"% | "&amp;Curr&amp;"   je"</f>
        <v>% | €   je</v>
      </c>
      <c r="I51" s="784" t="s">
        <v>72</v>
      </c>
      <c r="J51" s="785"/>
      <c r="K51" s="786">
        <f t="shared" ref="K51:P51" si="13">IF(K49=0,0,K47/K49)</f>
        <v>-6.4091107253859192E-2</v>
      </c>
      <c r="L51" s="787">
        <f t="shared" si="13"/>
        <v>-0.12523854500890311</v>
      </c>
      <c r="M51" s="788">
        <f t="shared" si="13"/>
        <v>1.8858617339876449</v>
      </c>
      <c r="N51" s="789">
        <f t="shared" si="13"/>
        <v>-2.1824400378832847</v>
      </c>
      <c r="O51" s="788">
        <f t="shared" si="13"/>
        <v>82.523943199999849</v>
      </c>
      <c r="P51" s="790">
        <f t="shared" si="13"/>
        <v>-321.36016228571475</v>
      </c>
    </row>
    <row r="52" spans="1:16" ht="15.6" thickBot="1" x14ac:dyDescent="0.3">
      <c r="A52" s="36">
        <f t="shared" ca="1" si="0"/>
        <v>52</v>
      </c>
      <c r="C52" s="125"/>
      <c r="D52" s="777" t="s">
        <v>62</v>
      </c>
      <c r="E52" s="758"/>
      <c r="F52" s="306"/>
      <c r="G52" s="306"/>
      <c r="H52" s="521">
        <f>$H$9</f>
        <v>280</v>
      </c>
      <c r="I52" s="307" t="str">
        <f>Curr&amp;"/"&amp;Unit</f>
        <v>€/ha</v>
      </c>
      <c r="J52" s="307"/>
      <c r="K52" s="308">
        <f t="shared" ref="K52:P52" si="14">IF($H$33=0,0,IF(K49=0,0,(K47+$H$33)/K49))</f>
        <v>3.8625467342072145E-2</v>
      </c>
      <c r="L52" s="309">
        <f t="shared" si="14"/>
        <v>5.5318308836411048E-2</v>
      </c>
      <c r="M52" s="310">
        <f t="shared" si="14"/>
        <v>37.119283150874523</v>
      </c>
      <c r="N52" s="311">
        <f t="shared" si="14"/>
        <v>39.252388895465835</v>
      </c>
      <c r="O52" s="310">
        <f t="shared" si="14"/>
        <v>362.52394319999985</v>
      </c>
      <c r="P52" s="312">
        <f t="shared" si="14"/>
        <v>478.63983771428531</v>
      </c>
    </row>
    <row r="53" spans="1:16" ht="8.25" customHeight="1" thickTop="1" x14ac:dyDescent="0.25">
      <c r="A53" s="36">
        <f t="shared" ca="1" si="0"/>
        <v>53</v>
      </c>
    </row>
    <row r="54" spans="1:16" ht="12.75" customHeight="1" x14ac:dyDescent="0.25">
      <c r="A54" s="36">
        <f t="shared" ca="1" si="0"/>
        <v>54</v>
      </c>
      <c r="C54" s="444" t="s">
        <v>143</v>
      </c>
      <c r="D54" s="445"/>
      <c r="E54" s="445"/>
      <c r="F54" s="446" t="s">
        <v>147</v>
      </c>
      <c r="G54" s="446"/>
      <c r="H54" s="806" t="str">
        <f>"% | "&amp;Curr&amp;"   je"</f>
        <v>% | €   je</v>
      </c>
      <c r="I54" s="446" t="s">
        <v>72</v>
      </c>
      <c r="J54" s="446"/>
      <c r="K54" s="447">
        <f>IF(SUM($E$16:$E$17)=0,0,SUM($P$16:$P$17)/SUM($E$16:$E$17))</f>
        <v>1.8000000000000002E-2</v>
      </c>
      <c r="L54" s="448">
        <f>IF($E$17=0,0,$P$17/$E$17)</f>
        <v>1.4999999999999999E-2</v>
      </c>
      <c r="M54" s="449">
        <f>IF(SUM($E$19:$E$20)=0,0,SUM($P$19:$P$20)/SUM($E$19:$E$20))</f>
        <v>29.000000000000004</v>
      </c>
      <c r="N54" s="450">
        <f>IF($E$20=0,0,$P$20/$E$20)</f>
        <v>30</v>
      </c>
      <c r="O54" s="449">
        <f>IF(SUM($E$22:$E$23)=0,0,SUM($K$22:$K$23)/SUM($E$22:$E$23))</f>
        <v>300</v>
      </c>
      <c r="P54" s="450">
        <f>IF($E$23=0,0,$K$23/$E$23)</f>
        <v>300</v>
      </c>
    </row>
    <row r="55" spans="1:16" ht="12.75" customHeight="1" x14ac:dyDescent="0.25">
      <c r="A55" s="36">
        <f ca="1">CELL("Row",A55)</f>
        <v>55</v>
      </c>
      <c r="C55" s="451" t="s">
        <v>142</v>
      </c>
      <c r="D55" s="452"/>
      <c r="E55" s="452"/>
      <c r="F55" s="452" t="s">
        <v>205</v>
      </c>
      <c r="G55" s="452"/>
      <c r="H55" s="807" t="str">
        <f>"% | "&amp;Curr&amp;"   je"</f>
        <v>% | €   je</v>
      </c>
      <c r="I55" s="452" t="s">
        <v>72</v>
      </c>
      <c r="J55" s="452"/>
      <c r="K55" s="453">
        <f>IF(SUM($E$16:$E$17,$E$39:$E$40)=0,0,SUM($P$16:$P$17,$P$39:$P$40)/SUM($E$16:$E$17,$E$39:$E$40))</f>
        <v>1.5688877071591546E-2</v>
      </c>
      <c r="L55" s="454">
        <f>IF(SUM($E$17,$E$40)=0,0,SUM($P$17,$P$40)/SUM($E$17,$E$40))</f>
        <v>1.4999999999999999E-2</v>
      </c>
      <c r="M55" s="455">
        <f>IF(SUM($E$19:$E$20,$E$42:$E$43)=0,0,SUM($P$19:$P$20,$P$42:$P$43)/SUM($E$19:$E$20,$E$42:$E$43))</f>
        <v>29.25166729583491</v>
      </c>
      <c r="N55" s="456">
        <f>IF(SUM($E$20,$E$43)=0,0,SUM($P$20,$P$43)/SUM($E$20,$E$43))</f>
        <v>30</v>
      </c>
      <c r="O55" s="455">
        <f>IF(SUM($E$22:$E$23)=0,0,SUM($K$22:$K$23)/SUM($E$22:$E$23))</f>
        <v>300</v>
      </c>
      <c r="P55" s="456">
        <f>IF($E$23=0,0,$K$23/$E$23)</f>
        <v>300</v>
      </c>
    </row>
    <row r="73" spans="11:16" x14ac:dyDescent="0.25">
      <c r="K73" s="791" t="str">
        <f>Curr &amp;" /"</f>
        <v>€ /</v>
      </c>
      <c r="L73" s="794" t="str">
        <f>Unit</f>
        <v>ha</v>
      </c>
      <c r="M73" s="791" t="s">
        <v>70</v>
      </c>
      <c r="N73" s="792" t="str">
        <f>Unit</f>
        <v>ha</v>
      </c>
      <c r="O73" s="791" t="s">
        <v>71</v>
      </c>
      <c r="P73" s="793" t="str">
        <f>Unit</f>
        <v>ha</v>
      </c>
    </row>
    <row r="74" spans="11:16" x14ac:dyDescent="0.25">
      <c r="K74" s="130">
        <f>E50+E49+E65+E64</f>
        <v>0</v>
      </c>
      <c r="L74" s="131">
        <f>E50+E65</f>
        <v>0</v>
      </c>
      <c r="M74" s="130">
        <f>E53+E52+E68+E67</f>
        <v>0</v>
      </c>
      <c r="N74" s="131">
        <f>E53+E68</f>
        <v>0</v>
      </c>
      <c r="O74" s="130">
        <f>E56+E55</f>
        <v>0</v>
      </c>
      <c r="P74" s="132">
        <f>E56</f>
        <v>0</v>
      </c>
    </row>
    <row r="75" spans="11:16" x14ac:dyDescent="0.25">
      <c r="K75" s="795" t="s">
        <v>69</v>
      </c>
      <c r="L75" s="796"/>
      <c r="M75" s="791" t="str">
        <f>Curr</f>
        <v>€</v>
      </c>
      <c r="N75" s="792" t="s">
        <v>67</v>
      </c>
      <c r="O75" s="791" t="str">
        <f>Curr</f>
        <v>€</v>
      </c>
      <c r="P75" s="793" t="s">
        <v>68</v>
      </c>
    </row>
    <row r="76" spans="11:16" x14ac:dyDescent="0.25">
      <c r="K76" s="786">
        <f t="shared" ref="K76:P76" si="15">IF(K74=0,0,K72/K74)</f>
        <v>0</v>
      </c>
      <c r="L76" s="787">
        <f t="shared" si="15"/>
        <v>0</v>
      </c>
      <c r="M76" s="788">
        <f t="shared" si="15"/>
        <v>0</v>
      </c>
      <c r="N76" s="789">
        <f t="shared" si="15"/>
        <v>0</v>
      </c>
      <c r="O76" s="788">
        <f t="shared" si="15"/>
        <v>0</v>
      </c>
      <c r="P76" s="790">
        <f t="shared" si="15"/>
        <v>0</v>
      </c>
    </row>
  </sheetData>
  <sheetProtection sheet="1" objects="1" scenarios="1"/>
  <phoneticPr fontId="12" type="noConversion"/>
  <pageMargins left="0.70866141732283472" right="0.47244094488188981" top="0.78740157480314965" bottom="0.62992125984251968" header="0.23622047244094491" footer="0.39370078740157483"/>
  <pageSetup paperSize="9" scale="94" orientation="portrait" blackAndWhite="1" horizontalDpi="300" verticalDpi="300" r:id="rId1"/>
  <headerFooter alignWithMargins="0">
    <oddFooter>&amp;L&amp;8Marktfruchtbau&amp;R&amp;P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Tabelle6">
    <pageSetUpPr fitToPage="1"/>
  </sheetPr>
  <dimension ref="A1:S64"/>
  <sheetViews>
    <sheetView showGridLines="0" tabSelected="1" topLeftCell="A19" zoomScaleNormal="100" workbookViewId="0">
      <selection activeCell="M48" sqref="M48"/>
    </sheetView>
  </sheetViews>
  <sheetFormatPr baseColWidth="10" defaultColWidth="11.44140625" defaultRowHeight="13.2" x14ac:dyDescent="0.25"/>
  <cols>
    <col min="1" max="1" width="2.6640625" style="1" bestFit="1" customWidth="1"/>
    <col min="2" max="2" width="1.6640625" style="1" customWidth="1"/>
    <col min="3" max="3" width="2.6640625" style="1" customWidth="1"/>
    <col min="4" max="4" width="8.109375" style="1" customWidth="1"/>
    <col min="5" max="5" width="7.88671875" style="1" customWidth="1"/>
    <col min="6" max="6" width="5.33203125" style="1" customWidth="1"/>
    <col min="7" max="7" width="1.88671875" style="1" customWidth="1"/>
    <col min="8" max="8" width="8.44140625" style="1" customWidth="1"/>
    <col min="9" max="9" width="6.88671875" style="1" customWidth="1"/>
    <col min="10" max="10" width="1.109375" style="1" customWidth="1"/>
    <col min="11" max="16" width="8.44140625" style="1" customWidth="1"/>
    <col min="17" max="16384" width="11.44140625" style="1"/>
  </cols>
  <sheetData>
    <row r="1" spans="1:19" ht="15.6" x14ac:dyDescent="0.3">
      <c r="A1" s="36">
        <f t="shared" ref="A1:A50" ca="1" si="0">CELL("Row",A1)</f>
        <v>1</v>
      </c>
      <c r="B1" s="37"/>
      <c r="C1" s="38" t="s">
        <v>58</v>
      </c>
      <c r="D1" s="5"/>
      <c r="O1" s="755" t="str">
        <f>'F2 Gewinn'!$O$1</f>
        <v>Weizen 85 dt,</v>
      </c>
      <c r="P1" s="755" t="str">
        <f>"1 "&amp;Unit</f>
        <v>1 ha</v>
      </c>
    </row>
    <row r="2" spans="1:19" customFormat="1" x14ac:dyDescent="0.25">
      <c r="A2" s="36">
        <f t="shared" ca="1" si="0"/>
        <v>2</v>
      </c>
    </row>
    <row r="3" spans="1:19" ht="15" x14ac:dyDescent="0.25">
      <c r="A3" s="36">
        <f t="shared" ca="1" si="0"/>
        <v>3</v>
      </c>
      <c r="B3" s="37"/>
      <c r="C3" s="698" t="s">
        <v>49</v>
      </c>
      <c r="D3" s="5"/>
      <c r="K3" s="6" t="s">
        <v>129</v>
      </c>
      <c r="O3" s="394" t="s">
        <v>130</v>
      </c>
      <c r="P3" s="395" t="s">
        <v>131</v>
      </c>
    </row>
    <row r="4" spans="1:19" ht="15" x14ac:dyDescent="0.25">
      <c r="A4" s="36">
        <f t="shared" ca="1" si="0"/>
        <v>4</v>
      </c>
      <c r="B4" s="37"/>
      <c r="C4" s="42" t="str">
        <f>'F2 Gewinn'!$C$4</f>
        <v>Ertrag Hauptleistung</v>
      </c>
      <c r="D4" s="43"/>
      <c r="E4" s="43"/>
      <c r="F4" s="43"/>
      <c r="G4" s="43"/>
      <c r="H4" s="95">
        <f>'F2 Gewinn'!H4</f>
        <v>70</v>
      </c>
      <c r="I4" s="44" t="str">
        <f>ProdUnit&amp;"/"&amp;Unit</f>
        <v>/ha</v>
      </c>
      <c r="K4" s="396" t="s">
        <v>14</v>
      </c>
      <c r="L4" s="9"/>
      <c r="M4" s="480">
        <f>'F2 Gewinn'!$M$4</f>
        <v>625.94760000000008</v>
      </c>
      <c r="N4" s="425" t="str">
        <f>Curr</f>
        <v>€</v>
      </c>
      <c r="O4" s="714">
        <f>'F2 Gewinn'!O4</f>
        <v>0.2</v>
      </c>
      <c r="P4" s="398">
        <f>IF(M4=0,0,100%-O4)</f>
        <v>0.8</v>
      </c>
    </row>
    <row r="5" spans="1:19" ht="15" x14ac:dyDescent="0.25">
      <c r="A5" s="36">
        <f t="shared" ca="1" si="0"/>
        <v>5</v>
      </c>
      <c r="B5" s="37"/>
      <c r="C5" s="17" t="str">
        <f>'F2 Gewinn'!$C$5</f>
        <v>Preis</v>
      </c>
      <c r="D5" s="2"/>
      <c r="E5" s="2"/>
      <c r="F5" s="2"/>
      <c r="G5" s="2"/>
      <c r="H5" s="97">
        <f>'F2 Gewinn'!H5</f>
        <v>22</v>
      </c>
      <c r="I5" s="589" t="str">
        <f>Curr&amp;"/"&amp;ProdUnit</f>
        <v>€/</v>
      </c>
      <c r="K5" s="436" t="s">
        <v>203</v>
      </c>
      <c r="L5" s="437"/>
      <c r="M5" s="493">
        <f>'F2 Gewinn'!$M$5</f>
        <v>2100</v>
      </c>
      <c r="N5" s="429" t="str">
        <f>Curr</f>
        <v>€</v>
      </c>
      <c r="O5" s="715">
        <f>'F2 Gewinn'!O5</f>
        <v>0.5</v>
      </c>
      <c r="P5" s="430">
        <f>IF(M5=0,0,100%-O5)</f>
        <v>0.5</v>
      </c>
    </row>
    <row r="6" spans="1:19" ht="15" x14ac:dyDescent="0.25">
      <c r="A6" s="36">
        <f t="shared" ca="1" si="0"/>
        <v>6</v>
      </c>
      <c r="B6" s="37"/>
      <c r="C6" s="53" t="str">
        <f>'F2 Gewinn'!$C$6</f>
        <v>Nebenleistungen</v>
      </c>
      <c r="D6" s="9"/>
      <c r="E6" s="9"/>
      <c r="F6" s="9"/>
      <c r="G6" s="9"/>
      <c r="H6" s="98">
        <f>'F2 Gewinn'!H6</f>
        <v>270</v>
      </c>
      <c r="I6" s="590" t="str">
        <f>Curr&amp;"/"&amp;Unit</f>
        <v>€/ha</v>
      </c>
      <c r="K6" s="45" t="s">
        <v>28</v>
      </c>
      <c r="L6" s="96"/>
      <c r="M6" s="480">
        <f>'F2 Gewinn'!$M$6</f>
        <v>5.9470000000000001</v>
      </c>
      <c r="N6" s="46" t="s">
        <v>169</v>
      </c>
      <c r="O6" s="716">
        <f>'F2 Gewinn'!O6</f>
        <v>0.2</v>
      </c>
      <c r="P6" s="398">
        <f>IF(M6=0,0,100%-O6)</f>
        <v>0.8</v>
      </c>
      <c r="S6" s="4"/>
    </row>
    <row r="7" spans="1:19" ht="15" x14ac:dyDescent="0.25">
      <c r="A7" s="36">
        <f t="shared" ca="1" si="0"/>
        <v>7</v>
      </c>
      <c r="B7" s="37"/>
      <c r="C7" s="99" t="str">
        <f>'F2 Gewinn'!$C$7</f>
        <v>Prop. Direktzahlungen</v>
      </c>
      <c r="D7" s="10"/>
      <c r="E7" s="10"/>
      <c r="F7" s="10"/>
      <c r="G7" s="10"/>
      <c r="H7" s="100">
        <f>'F2 Gewinn'!H7</f>
        <v>1</v>
      </c>
      <c r="I7" s="591" t="str">
        <f>Curr&amp;"/"&amp;Unit</f>
        <v>€/ha</v>
      </c>
      <c r="K7" s="56" t="s">
        <v>134</v>
      </c>
      <c r="L7" s="439"/>
      <c r="M7" s="440">
        <f>'F2 Gewinn'!$M$7</f>
        <v>2</v>
      </c>
      <c r="N7" s="58" t="s">
        <v>169</v>
      </c>
      <c r="O7" s="717">
        <f>'F2 Gewinn'!O7</f>
        <v>0</v>
      </c>
      <c r="P7" s="60">
        <f>IF(M7=0,0,100%-O7)</f>
        <v>1</v>
      </c>
    </row>
    <row r="8" spans="1:19" ht="15.6" thickBot="1" x14ac:dyDescent="0.3">
      <c r="A8" s="36">
        <f t="shared" ca="1" si="0"/>
        <v>8</v>
      </c>
      <c r="B8" s="37"/>
      <c r="C8" s="757" t="str">
        <f>'F2 Gewinn'!$C$8</f>
        <v>Proport. var. Kosten</v>
      </c>
      <c r="D8" s="758"/>
      <c r="E8" s="758"/>
      <c r="F8" s="758"/>
      <c r="G8" s="758"/>
      <c r="H8" s="759">
        <f>'F2 Gewinn'!H8</f>
        <v>1043.2460000000001</v>
      </c>
      <c r="I8" s="760" t="str">
        <f>Curr&amp;"/"&amp;Unit</f>
        <v>€/ha</v>
      </c>
      <c r="K8" s="389" t="s">
        <v>100</v>
      </c>
      <c r="L8" s="7"/>
      <c r="M8" s="433">
        <f>'F2 Gewinn'!$M$8</f>
        <v>1</v>
      </c>
      <c r="N8" s="438" t="s">
        <v>170</v>
      </c>
      <c r="O8" s="718">
        <f>'F2 Gewinn'!O8</f>
        <v>0.65</v>
      </c>
      <c r="P8" s="392">
        <f>IF(M8=0,0,100%-O8)</f>
        <v>0.35</v>
      </c>
    </row>
    <row r="9" spans="1:19" ht="16.2" thickTop="1" thickBot="1" x14ac:dyDescent="0.3">
      <c r="A9" s="36">
        <f t="shared" ca="1" si="0"/>
        <v>9</v>
      </c>
      <c r="B9" s="37"/>
      <c r="C9" s="756" t="s">
        <v>166</v>
      </c>
      <c r="D9" s="7"/>
      <c r="E9" s="7"/>
      <c r="F9" s="7"/>
      <c r="G9" s="7"/>
      <c r="H9" s="133">
        <f>'F2 Gewinn'!H9</f>
        <v>280</v>
      </c>
      <c r="I9" s="18" t="str">
        <f>Curr&amp;"/"&amp;Unit</f>
        <v>€/ha</v>
      </c>
    </row>
    <row r="10" spans="1:19" ht="15.6" thickTop="1" x14ac:dyDescent="0.25">
      <c r="A10" s="36">
        <f t="shared" ca="1" si="0"/>
        <v>10</v>
      </c>
      <c r="B10" s="37"/>
      <c r="I10"/>
      <c r="J10"/>
      <c r="K10" s="63" t="s">
        <v>222</v>
      </c>
      <c r="L10" s="64"/>
      <c r="M10" s="63" t="s">
        <v>223</v>
      </c>
      <c r="N10" s="134"/>
      <c r="O10" s="63" t="s">
        <v>224</v>
      </c>
      <c r="P10" s="135"/>
    </row>
    <row r="11" spans="1:19" ht="15" x14ac:dyDescent="0.25">
      <c r="A11" s="36">
        <f t="shared" ca="1" si="0"/>
        <v>11</v>
      </c>
      <c r="B11" s="37"/>
      <c r="C11"/>
      <c r="D11"/>
      <c r="E11"/>
      <c r="F11"/>
      <c r="G11"/>
      <c r="H11"/>
      <c r="I11"/>
      <c r="J11"/>
      <c r="K11" s="136" t="s">
        <v>225</v>
      </c>
      <c r="L11" s="137"/>
      <c r="M11" s="136" t="s">
        <v>225</v>
      </c>
      <c r="N11" s="138"/>
      <c r="O11" s="136" t="s">
        <v>225</v>
      </c>
      <c r="P11" s="139"/>
    </row>
    <row r="12" spans="1:19" ht="15" x14ac:dyDescent="0.25">
      <c r="A12" s="36">
        <f t="shared" ca="1" si="0"/>
        <v>12</v>
      </c>
      <c r="B12" s="37"/>
      <c r="C12"/>
      <c r="D12"/>
      <c r="E12"/>
      <c r="F12"/>
      <c r="G12"/>
      <c r="H12"/>
      <c r="I12"/>
      <c r="J12"/>
      <c r="K12" s="140" t="s">
        <v>226</v>
      </c>
      <c r="L12" s="141" t="s">
        <v>227</v>
      </c>
      <c r="M12" s="140" t="s">
        <v>226</v>
      </c>
      <c r="N12" s="141" t="s">
        <v>227</v>
      </c>
      <c r="O12" s="140" t="s">
        <v>226</v>
      </c>
      <c r="P12" s="141" t="s">
        <v>227</v>
      </c>
    </row>
    <row r="13" spans="1:19" ht="15.6" thickBot="1" x14ac:dyDescent="0.3">
      <c r="A13" s="36">
        <f t="shared" ca="1" si="0"/>
        <v>13</v>
      </c>
      <c r="B13" s="37"/>
      <c r="C13"/>
      <c r="D13"/>
      <c r="E13"/>
      <c r="F13"/>
      <c r="G13"/>
      <c r="H13"/>
      <c r="I13" s="35" t="str">
        <f>Curr&amp;"/"&amp;Unit</f>
        <v>€/ha</v>
      </c>
      <c r="J13"/>
      <c r="K13" s="142" t="s">
        <v>40</v>
      </c>
      <c r="L13" s="143"/>
      <c r="M13" s="142" t="s">
        <v>40</v>
      </c>
      <c r="N13" s="144"/>
      <c r="O13" s="142" t="s">
        <v>40</v>
      </c>
      <c r="P13" s="144"/>
    </row>
    <row r="14" spans="1:19" ht="15.6" thickTop="1" x14ac:dyDescent="0.25">
      <c r="A14" s="36">
        <f t="shared" ca="1" si="0"/>
        <v>14</v>
      </c>
      <c r="B14" s="37"/>
      <c r="C14" s="145" t="s">
        <v>5</v>
      </c>
      <c r="D14" s="146" t="s">
        <v>61</v>
      </c>
      <c r="E14" s="108"/>
      <c r="F14" s="108"/>
      <c r="G14" s="108"/>
      <c r="H14" s="108"/>
      <c r="I14" s="108"/>
      <c r="J14" s="108"/>
      <c r="K14" s="147">
        <f>H8</f>
        <v>1043.2460000000001</v>
      </c>
      <c r="L14" s="148">
        <f>$K14</f>
        <v>1043.2460000000001</v>
      </c>
      <c r="M14" s="147">
        <f>$K14</f>
        <v>1043.2460000000001</v>
      </c>
      <c r="N14" s="149">
        <f>$K14</f>
        <v>1043.2460000000001</v>
      </c>
      <c r="O14" s="147">
        <f>$K14</f>
        <v>1043.2460000000001</v>
      </c>
      <c r="P14" s="149">
        <f>$K14</f>
        <v>1043.2460000000001</v>
      </c>
    </row>
    <row r="15" spans="1:19" ht="15" x14ac:dyDescent="0.25">
      <c r="A15" s="36">
        <f t="shared" ca="1" si="0"/>
        <v>15</v>
      </c>
      <c r="B15" s="37"/>
      <c r="C15" s="67" t="s">
        <v>159</v>
      </c>
      <c r="D15" s="85" t="s">
        <v>167</v>
      </c>
      <c r="E15" s="85"/>
      <c r="F15" s="75"/>
      <c r="G15" s="75"/>
      <c r="H15" s="75"/>
      <c r="I15" s="75"/>
      <c r="J15" s="75"/>
      <c r="K15" s="522">
        <f t="shared" ref="K15:P15" si="1">-$H$6</f>
        <v>-270</v>
      </c>
      <c r="L15" s="523">
        <f t="shared" si="1"/>
        <v>-270</v>
      </c>
      <c r="M15" s="522">
        <f t="shared" si="1"/>
        <v>-270</v>
      </c>
      <c r="N15" s="524">
        <f t="shared" si="1"/>
        <v>-270</v>
      </c>
      <c r="O15" s="525">
        <f t="shared" si="1"/>
        <v>-270</v>
      </c>
      <c r="P15" s="524">
        <f t="shared" si="1"/>
        <v>-270</v>
      </c>
    </row>
    <row r="16" spans="1:19" ht="15" x14ac:dyDescent="0.25">
      <c r="A16" s="36">
        <f t="shared" ca="1" si="0"/>
        <v>16</v>
      </c>
      <c r="B16" s="37"/>
      <c r="C16" s="122" t="s">
        <v>159</v>
      </c>
      <c r="D16" s="15" t="s">
        <v>168</v>
      </c>
      <c r="E16" s="526"/>
      <c r="F16" s="526"/>
      <c r="G16" s="526"/>
      <c r="H16" s="526"/>
      <c r="I16" s="526"/>
      <c r="J16" s="526"/>
      <c r="K16" s="527" t="s">
        <v>210</v>
      </c>
      <c r="L16" s="528">
        <f>-$H$7-$H$9</f>
        <v>-281</v>
      </c>
      <c r="M16" s="527" t="s">
        <v>210</v>
      </c>
      <c r="N16" s="528">
        <f>-$H$7-$H$9</f>
        <v>-281</v>
      </c>
      <c r="O16" s="527" t="s">
        <v>210</v>
      </c>
      <c r="P16" s="529">
        <f>-$H$7-$H$9</f>
        <v>-281</v>
      </c>
    </row>
    <row r="17" spans="1:17" ht="15" x14ac:dyDescent="0.25">
      <c r="A17" s="36">
        <f t="shared" ca="1" si="0"/>
        <v>17</v>
      </c>
      <c r="B17" s="37"/>
      <c r="C17" s="67" t="s">
        <v>8</v>
      </c>
      <c r="D17" s="585" t="s">
        <v>22</v>
      </c>
      <c r="E17" s="640"/>
      <c r="F17" s="640"/>
      <c r="G17" s="640"/>
      <c r="H17" s="640"/>
      <c r="I17" s="682"/>
      <c r="J17" s="683"/>
      <c r="K17" s="652"/>
      <c r="L17" s="653"/>
      <c r="M17" s="652"/>
      <c r="N17" s="653"/>
      <c r="O17" s="652"/>
      <c r="P17" s="654"/>
    </row>
    <row r="18" spans="1:17" ht="15" x14ac:dyDescent="0.25">
      <c r="A18" s="36">
        <f t="shared" ca="1" si="0"/>
        <v>18</v>
      </c>
      <c r="B18" s="37"/>
      <c r="C18" s="67"/>
      <c r="D18" s="118" t="s">
        <v>136</v>
      </c>
      <c r="E18" s="335">
        <f>M4*O4</f>
        <v>125.18952000000002</v>
      </c>
      <c r="F18" s="638" t="str">
        <f>Curr</f>
        <v>€</v>
      </c>
      <c r="G18" s="638" t="s">
        <v>13</v>
      </c>
      <c r="H18" s="639">
        <f>'F2 Gewinn'!$H$17</f>
        <v>3</v>
      </c>
      <c r="I18" s="573" t="s">
        <v>161</v>
      </c>
      <c r="J18" s="687"/>
      <c r="K18" s="151">
        <f>$E18*$H18%</f>
        <v>3.7556856000000005</v>
      </c>
      <c r="L18" s="150">
        <f t="shared" ref="L18:P19" si="2">$E18*$H18%</f>
        <v>3.7556856000000005</v>
      </c>
      <c r="M18" s="151">
        <f t="shared" si="2"/>
        <v>3.7556856000000005</v>
      </c>
      <c r="N18" s="152">
        <f t="shared" si="2"/>
        <v>3.7556856000000005</v>
      </c>
      <c r="O18" s="151">
        <f t="shared" si="2"/>
        <v>3.7556856000000005</v>
      </c>
      <c r="P18" s="152">
        <f t="shared" si="2"/>
        <v>3.7556856000000005</v>
      </c>
    </row>
    <row r="19" spans="1:17" ht="15" x14ac:dyDescent="0.25">
      <c r="A19" s="36">
        <f t="shared" ca="1" si="0"/>
        <v>19</v>
      </c>
      <c r="B19" s="37"/>
      <c r="C19" s="122"/>
      <c r="D19" s="10" t="s">
        <v>137</v>
      </c>
      <c r="E19" s="341">
        <f>M4*P4</f>
        <v>500.75808000000006</v>
      </c>
      <c r="F19" s="342" t="str">
        <f>Curr</f>
        <v>€</v>
      </c>
      <c r="G19" s="342" t="s">
        <v>13</v>
      </c>
      <c r="H19" s="419">
        <f>'F2 Gewinn'!$H$18</f>
        <v>1.5</v>
      </c>
      <c r="I19" s="387" t="s">
        <v>161</v>
      </c>
      <c r="J19" s="684"/>
      <c r="K19" s="176">
        <f>$E19*$H19%</f>
        <v>7.511371200000001</v>
      </c>
      <c r="L19" s="383">
        <f t="shared" si="2"/>
        <v>7.511371200000001</v>
      </c>
      <c r="M19" s="176">
        <f t="shared" si="2"/>
        <v>7.511371200000001</v>
      </c>
      <c r="N19" s="175">
        <f t="shared" si="2"/>
        <v>7.511371200000001</v>
      </c>
      <c r="O19" s="411" t="s">
        <v>141</v>
      </c>
      <c r="P19" s="313" t="s">
        <v>141</v>
      </c>
    </row>
    <row r="20" spans="1:17" ht="15" x14ac:dyDescent="0.25">
      <c r="A20" s="36">
        <f t="shared" ca="1" si="0"/>
        <v>20</v>
      </c>
      <c r="B20" s="37"/>
      <c r="C20" s="177" t="s">
        <v>9</v>
      </c>
      <c r="D20" s="585" t="s">
        <v>44</v>
      </c>
      <c r="E20" s="568"/>
      <c r="F20" s="568"/>
      <c r="G20" s="568"/>
      <c r="H20" s="689" t="s">
        <v>41</v>
      </c>
      <c r="I20" s="410" t="str">
        <f>Unit</f>
        <v>ha</v>
      </c>
      <c r="J20" s="685"/>
      <c r="K20" s="178">
        <f t="shared" ref="K20:P20" si="3">SUM(K14:K19)</f>
        <v>784.51305680000007</v>
      </c>
      <c r="L20" s="380">
        <f t="shared" si="3"/>
        <v>503.51305680000007</v>
      </c>
      <c r="M20" s="381">
        <f t="shared" si="3"/>
        <v>784.51305680000007</v>
      </c>
      <c r="N20" s="382">
        <f t="shared" si="3"/>
        <v>503.51305680000007</v>
      </c>
      <c r="O20" s="381">
        <f t="shared" si="3"/>
        <v>777.00168560000009</v>
      </c>
      <c r="P20" s="382">
        <f t="shared" si="3"/>
        <v>496.00168560000009</v>
      </c>
    </row>
    <row r="21" spans="1:17" ht="15" x14ac:dyDescent="0.25">
      <c r="A21" s="36">
        <f t="shared" ca="1" si="0"/>
        <v>21</v>
      </c>
      <c r="B21" s="37"/>
      <c r="C21" s="153"/>
      <c r="D21" s="298" t="s">
        <v>228</v>
      </c>
      <c r="E21" s="691"/>
      <c r="F21" s="691"/>
      <c r="G21" s="691"/>
      <c r="H21" s="690" t="s">
        <v>41</v>
      </c>
      <c r="I21" s="80" t="str">
        <f>ProdUnit</f>
        <v/>
      </c>
      <c r="J21" s="686"/>
      <c r="K21" s="155">
        <f t="shared" ref="K21:P21" si="4">IF($H$4=0,0,K20/$H$4)</f>
        <v>11.207329382857145</v>
      </c>
      <c r="L21" s="156">
        <f t="shared" si="4"/>
        <v>7.1930436685714296</v>
      </c>
      <c r="M21" s="157">
        <f t="shared" si="4"/>
        <v>11.207329382857145</v>
      </c>
      <c r="N21" s="158">
        <f t="shared" si="4"/>
        <v>7.1930436685714296</v>
      </c>
      <c r="O21" s="157">
        <f t="shared" si="4"/>
        <v>11.100024080000001</v>
      </c>
      <c r="P21" s="158">
        <f t="shared" si="4"/>
        <v>7.0857383657142874</v>
      </c>
    </row>
    <row r="22" spans="1:17" ht="15" x14ac:dyDescent="0.25">
      <c r="A22" s="36">
        <f t="shared" ca="1" si="0"/>
        <v>22</v>
      </c>
      <c r="B22" s="37"/>
      <c r="C22" s="67" t="s">
        <v>8</v>
      </c>
      <c r="D22" s="647" t="s">
        <v>21</v>
      </c>
      <c r="E22" s="647"/>
      <c r="F22" s="647"/>
      <c r="G22" s="647"/>
      <c r="H22" s="587"/>
      <c r="I22" s="655"/>
      <c r="J22" s="680"/>
      <c r="K22" s="656"/>
      <c r="L22" s="657"/>
      <c r="M22" s="658"/>
      <c r="N22" s="659"/>
      <c r="O22" s="658"/>
      <c r="P22" s="659"/>
    </row>
    <row r="23" spans="1:17" ht="15" x14ac:dyDescent="0.25">
      <c r="A23" s="36">
        <f t="shared" ca="1" si="0"/>
        <v>23</v>
      </c>
      <c r="B23" s="37"/>
      <c r="C23" s="67"/>
      <c r="D23" s="118" t="s">
        <v>136</v>
      </c>
      <c r="E23" s="335">
        <f>M6*O6</f>
        <v>1.1894</v>
      </c>
      <c r="F23" s="11" t="s">
        <v>169</v>
      </c>
      <c r="G23" s="11" t="s">
        <v>13</v>
      </c>
      <c r="H23" s="677">
        <f>'F2 Gewinn'!$H$21</f>
        <v>25</v>
      </c>
      <c r="I23" s="68" t="str">
        <f>Curr&amp;"/AKh"</f>
        <v>€/AKh</v>
      </c>
      <c r="J23" s="678"/>
      <c r="K23" s="151">
        <f>$E23*$H23</f>
        <v>29.734999999999999</v>
      </c>
      <c r="L23" s="150">
        <f t="shared" ref="L23:P24" si="5">$E23*$H23</f>
        <v>29.734999999999999</v>
      </c>
      <c r="M23" s="151">
        <f t="shared" si="5"/>
        <v>29.734999999999999</v>
      </c>
      <c r="N23" s="152">
        <f t="shared" si="5"/>
        <v>29.734999999999999</v>
      </c>
      <c r="O23" s="151">
        <f t="shared" si="5"/>
        <v>29.734999999999999</v>
      </c>
      <c r="P23" s="152">
        <f t="shared" si="5"/>
        <v>29.734999999999999</v>
      </c>
    </row>
    <row r="24" spans="1:17" ht="15" x14ac:dyDescent="0.25">
      <c r="A24" s="36">
        <f t="shared" ca="1" si="0"/>
        <v>24</v>
      </c>
      <c r="B24" s="37"/>
      <c r="C24" s="122"/>
      <c r="D24" s="10" t="s">
        <v>137</v>
      </c>
      <c r="E24" s="341">
        <f>M6*P6</f>
        <v>4.7576000000000001</v>
      </c>
      <c r="F24" s="10" t="s">
        <v>169</v>
      </c>
      <c r="G24" s="7" t="s">
        <v>13</v>
      </c>
      <c r="H24" s="412">
        <f>'F2 Gewinn'!$H$22</f>
        <v>30</v>
      </c>
      <c r="I24" s="15" t="str">
        <f>Curr&amp;"/AKh"</f>
        <v>€/AKh</v>
      </c>
      <c r="J24" s="414"/>
      <c r="K24" s="176">
        <f>$E24*$H24</f>
        <v>142.72800000000001</v>
      </c>
      <c r="L24" s="383">
        <f t="shared" si="5"/>
        <v>142.72800000000001</v>
      </c>
      <c r="M24" s="176">
        <f t="shared" si="5"/>
        <v>142.72800000000001</v>
      </c>
      <c r="N24" s="175">
        <f t="shared" si="5"/>
        <v>142.72800000000001</v>
      </c>
      <c r="O24" s="411" t="s">
        <v>141</v>
      </c>
      <c r="P24" s="313" t="s">
        <v>141</v>
      </c>
    </row>
    <row r="25" spans="1:17" ht="15" x14ac:dyDescent="0.25">
      <c r="A25" s="36">
        <f t="shared" ca="1" si="0"/>
        <v>25</v>
      </c>
      <c r="B25" s="37"/>
      <c r="C25" s="177" t="s">
        <v>9</v>
      </c>
      <c r="D25" s="585" t="s">
        <v>45</v>
      </c>
      <c r="E25" s="568"/>
      <c r="F25" s="568"/>
      <c r="G25" s="568"/>
      <c r="H25" s="689" t="s">
        <v>41</v>
      </c>
      <c r="I25" s="410" t="str">
        <f>Unit</f>
        <v>ha</v>
      </c>
      <c r="J25" s="685"/>
      <c r="K25" s="178">
        <f t="shared" ref="K25:P25" si="6">K20+K24+K23</f>
        <v>956.97605680000004</v>
      </c>
      <c r="L25" s="380">
        <f t="shared" si="6"/>
        <v>675.97605680000004</v>
      </c>
      <c r="M25" s="381">
        <f t="shared" si="6"/>
        <v>956.97605680000004</v>
      </c>
      <c r="N25" s="382">
        <f t="shared" si="6"/>
        <v>675.97605680000004</v>
      </c>
      <c r="O25" s="381">
        <f t="shared" si="6"/>
        <v>806.7366856000001</v>
      </c>
      <c r="P25" s="382">
        <f t="shared" si="6"/>
        <v>525.7366856000001</v>
      </c>
    </row>
    <row r="26" spans="1:17" ht="15" x14ac:dyDescent="0.25">
      <c r="A26" s="36">
        <f t="shared" ca="1" si="0"/>
        <v>26</v>
      </c>
      <c r="B26" s="37"/>
      <c r="C26" s="153"/>
      <c r="D26" s="298" t="s">
        <v>229</v>
      </c>
      <c r="E26" s="691"/>
      <c r="F26" s="691"/>
      <c r="G26" s="691"/>
      <c r="H26" s="690" t="s">
        <v>41</v>
      </c>
      <c r="I26" s="80" t="str">
        <f>ProdUnit</f>
        <v/>
      </c>
      <c r="J26" s="686"/>
      <c r="K26" s="155">
        <f t="shared" ref="K26:P26" si="7">IF($H$4=0,0,K25/$H$4)</f>
        <v>13.671086525714287</v>
      </c>
      <c r="L26" s="156">
        <f t="shared" si="7"/>
        <v>9.6568008114285728</v>
      </c>
      <c r="M26" s="157">
        <f t="shared" si="7"/>
        <v>13.671086525714287</v>
      </c>
      <c r="N26" s="158">
        <f t="shared" si="7"/>
        <v>9.6568008114285728</v>
      </c>
      <c r="O26" s="157">
        <f t="shared" si="7"/>
        <v>11.524809794285716</v>
      </c>
      <c r="P26" s="158">
        <f t="shared" si="7"/>
        <v>7.5105240800000015</v>
      </c>
    </row>
    <row r="27" spans="1:17" ht="15" x14ac:dyDescent="0.25">
      <c r="A27" s="36">
        <f t="shared" ca="1" si="0"/>
        <v>27</v>
      </c>
      <c r="B27" s="37"/>
      <c r="C27" s="67" t="s">
        <v>8</v>
      </c>
      <c r="D27" s="325" t="s">
        <v>25</v>
      </c>
      <c r="E27" s="647"/>
      <c r="F27" s="325"/>
      <c r="G27" s="325"/>
      <c r="H27" s="587"/>
      <c r="I27" s="587"/>
      <c r="J27" s="679"/>
      <c r="K27" s="656"/>
      <c r="L27" s="657"/>
      <c r="M27" s="658"/>
      <c r="N27" s="659"/>
      <c r="O27" s="658"/>
      <c r="P27" s="659"/>
    </row>
    <row r="28" spans="1:17" ht="15" x14ac:dyDescent="0.25">
      <c r="A28" s="36">
        <f t="shared" ca="1" si="0"/>
        <v>28</v>
      </c>
      <c r="B28" s="37"/>
      <c r="C28" s="67"/>
      <c r="D28" s="118" t="s">
        <v>136</v>
      </c>
      <c r="E28" s="348">
        <f>M8*O8</f>
        <v>0.65</v>
      </c>
      <c r="F28" s="11" t="s">
        <v>170</v>
      </c>
      <c r="G28" s="11" t="s">
        <v>13</v>
      </c>
      <c r="H28" s="676">
        <f>'F2 Gewinn'!$H$25</f>
        <v>300</v>
      </c>
      <c r="I28" s="68" t="str">
        <f>Curr&amp;"/ha"</f>
        <v>€/ha</v>
      </c>
      <c r="J28" s="678"/>
      <c r="K28" s="151">
        <f>$E28*$H28</f>
        <v>195</v>
      </c>
      <c r="L28" s="150">
        <f t="shared" ref="L28:P32" si="8">$E28*$H28</f>
        <v>195</v>
      </c>
      <c r="M28" s="151">
        <f t="shared" si="8"/>
        <v>195</v>
      </c>
      <c r="N28" s="152">
        <f t="shared" si="8"/>
        <v>195</v>
      </c>
      <c r="O28" s="151">
        <f t="shared" si="8"/>
        <v>195</v>
      </c>
      <c r="P28" s="152">
        <f t="shared" si="8"/>
        <v>195</v>
      </c>
    </row>
    <row r="29" spans="1:17" ht="15" x14ac:dyDescent="0.25">
      <c r="A29" s="36">
        <f t="shared" ca="1" si="0"/>
        <v>29</v>
      </c>
      <c r="B29" s="37"/>
      <c r="C29" s="122"/>
      <c r="D29" s="10" t="s">
        <v>137</v>
      </c>
      <c r="E29" s="358">
        <f>M8*P8</f>
        <v>0.35</v>
      </c>
      <c r="F29" s="10" t="s">
        <v>170</v>
      </c>
      <c r="G29" s="7" t="s">
        <v>13</v>
      </c>
      <c r="H29" s="384">
        <f>'F2 Gewinn'!$H$26</f>
        <v>300</v>
      </c>
      <c r="I29" s="15" t="str">
        <f>Curr&amp;"/ha"</f>
        <v>€/ha</v>
      </c>
      <c r="J29" s="414"/>
      <c r="K29" s="176">
        <f>$E29*$H29</f>
        <v>105</v>
      </c>
      <c r="L29" s="383">
        <f t="shared" si="8"/>
        <v>105</v>
      </c>
      <c r="M29" s="176">
        <f t="shared" si="8"/>
        <v>105</v>
      </c>
      <c r="N29" s="175">
        <f t="shared" si="8"/>
        <v>105</v>
      </c>
      <c r="O29" s="409" t="s">
        <v>141</v>
      </c>
      <c r="P29" s="313" t="s">
        <v>141</v>
      </c>
    </row>
    <row r="30" spans="1:17" ht="15" x14ac:dyDescent="0.25">
      <c r="A30" s="36">
        <f t="shared" ca="1" si="0"/>
        <v>30</v>
      </c>
      <c r="B30" s="37"/>
      <c r="C30" s="67" t="s">
        <v>8</v>
      </c>
      <c r="D30" s="647" t="s">
        <v>24</v>
      </c>
      <c r="E30" s="632"/>
      <c r="F30" s="2"/>
      <c r="G30" s="2"/>
      <c r="H30" s="633"/>
      <c r="I30" s="13"/>
      <c r="J30" s="681"/>
      <c r="K30" s="166"/>
      <c r="L30" s="653"/>
      <c r="M30" s="166"/>
      <c r="N30" s="167"/>
      <c r="O30" s="660"/>
      <c r="P30" s="661"/>
    </row>
    <row r="31" spans="1:17" ht="15" x14ac:dyDescent="0.25">
      <c r="A31" s="36">
        <f t="shared" ca="1" si="0"/>
        <v>31</v>
      </c>
      <c r="B31" s="37"/>
      <c r="C31" s="67"/>
      <c r="D31" s="118" t="s">
        <v>136</v>
      </c>
      <c r="E31" s="348">
        <f>'F2 Gewinn'!$E$28</f>
        <v>0</v>
      </c>
      <c r="F31" s="388" t="str">
        <f>'F2 Gewinn'!$F$28</f>
        <v>____</v>
      </c>
      <c r="G31" s="388" t="s">
        <v>13</v>
      </c>
      <c r="H31" s="349">
        <f>'F2 Gewinn'!$H$28</f>
        <v>0</v>
      </c>
      <c r="I31" s="334" t="str">
        <f>'F2 Gewinn'!$I$28</f>
        <v>€/____</v>
      </c>
      <c r="J31" s="688"/>
      <c r="K31" s="151">
        <f>$E31*$H31</f>
        <v>0</v>
      </c>
      <c r="L31" s="150">
        <f t="shared" si="8"/>
        <v>0</v>
      </c>
      <c r="M31" s="151">
        <f t="shared" si="8"/>
        <v>0</v>
      </c>
      <c r="N31" s="152">
        <f t="shared" si="8"/>
        <v>0</v>
      </c>
      <c r="O31" s="151">
        <f t="shared" si="8"/>
        <v>0</v>
      </c>
      <c r="P31" s="152">
        <f t="shared" si="8"/>
        <v>0</v>
      </c>
      <c r="Q31" s="159" t="s">
        <v>230</v>
      </c>
    </row>
    <row r="32" spans="1:17" ht="15" x14ac:dyDescent="0.25">
      <c r="A32" s="36">
        <f t="shared" ca="1" si="0"/>
        <v>32</v>
      </c>
      <c r="B32" s="37"/>
      <c r="C32" s="122"/>
      <c r="D32" s="10" t="s">
        <v>137</v>
      </c>
      <c r="E32" s="358">
        <f>'F2 Gewinn'!$E$29</f>
        <v>0</v>
      </c>
      <c r="F32" s="413" t="str">
        <f>'F2 Gewinn'!$F$29</f>
        <v xml:space="preserve">____ </v>
      </c>
      <c r="G32" s="648" t="s">
        <v>13</v>
      </c>
      <c r="H32" s="384"/>
      <c r="I32" s="15" t="str">
        <f>'F2 Gewinn'!$I$29</f>
        <v xml:space="preserve">€/____ </v>
      </c>
      <c r="J32" s="414"/>
      <c r="K32" s="176">
        <f>$E32*$H32</f>
        <v>0</v>
      </c>
      <c r="L32" s="383">
        <f t="shared" si="8"/>
        <v>0</v>
      </c>
      <c r="M32" s="176">
        <f t="shared" si="8"/>
        <v>0</v>
      </c>
      <c r="N32" s="175">
        <f t="shared" si="8"/>
        <v>0</v>
      </c>
      <c r="O32" s="409" t="s">
        <v>141</v>
      </c>
      <c r="P32" s="313" t="s">
        <v>141</v>
      </c>
      <c r="Q32" s="159"/>
    </row>
    <row r="33" spans="1:17" ht="15" x14ac:dyDescent="0.25">
      <c r="A33" s="36">
        <f t="shared" ca="1" si="0"/>
        <v>33</v>
      </c>
      <c r="B33" s="37"/>
      <c r="C33" s="177" t="s">
        <v>9</v>
      </c>
      <c r="D33" s="585" t="s">
        <v>46</v>
      </c>
      <c r="E33" s="568"/>
      <c r="F33" s="568"/>
      <c r="G33" s="568"/>
      <c r="H33" s="689" t="s">
        <v>41</v>
      </c>
      <c r="I33" s="410" t="str">
        <f>Unit</f>
        <v>ha</v>
      </c>
      <c r="J33" s="685"/>
      <c r="K33" s="178">
        <f t="shared" ref="K33:P33" si="9">K25+K29+K28+K31+K32</f>
        <v>1256.9760568000002</v>
      </c>
      <c r="L33" s="380">
        <f t="shared" si="9"/>
        <v>975.97605680000004</v>
      </c>
      <c r="M33" s="381">
        <f t="shared" si="9"/>
        <v>1256.9760568000002</v>
      </c>
      <c r="N33" s="382">
        <f t="shared" si="9"/>
        <v>975.97605680000004</v>
      </c>
      <c r="O33" s="381">
        <f t="shared" si="9"/>
        <v>1001.7366856000001</v>
      </c>
      <c r="P33" s="382">
        <f t="shared" si="9"/>
        <v>720.7366856000001</v>
      </c>
    </row>
    <row r="34" spans="1:17" ht="15.6" thickBot="1" x14ac:dyDescent="0.3">
      <c r="A34" s="36">
        <f t="shared" ca="1" si="0"/>
        <v>34</v>
      </c>
      <c r="B34" s="37"/>
      <c r="C34" s="160"/>
      <c r="D34" s="696" t="s">
        <v>231</v>
      </c>
      <c r="E34" s="692"/>
      <c r="F34" s="692"/>
      <c r="G34" s="692"/>
      <c r="H34" s="693" t="s">
        <v>41</v>
      </c>
      <c r="I34" s="694" t="str">
        <f>ProdUnit</f>
        <v/>
      </c>
      <c r="J34" s="695"/>
      <c r="K34" s="161">
        <f t="shared" ref="K34:P34" si="10">IF($H$4=0,0,K33/$H$4)</f>
        <v>17.956800811428575</v>
      </c>
      <c r="L34" s="162">
        <f t="shared" si="10"/>
        <v>13.942515097142858</v>
      </c>
      <c r="M34" s="163">
        <f t="shared" si="10"/>
        <v>17.956800811428575</v>
      </c>
      <c r="N34" s="164">
        <f t="shared" si="10"/>
        <v>13.942515097142858</v>
      </c>
      <c r="O34" s="163">
        <f t="shared" si="10"/>
        <v>14.310524080000002</v>
      </c>
      <c r="P34" s="164">
        <f t="shared" si="10"/>
        <v>10.296238365714288</v>
      </c>
    </row>
    <row r="35" spans="1:17" ht="15.6" thickTop="1" x14ac:dyDescent="0.25">
      <c r="A35" s="36">
        <f t="shared" ca="1" si="0"/>
        <v>35</v>
      </c>
      <c r="B35" s="37"/>
      <c r="C35" s="649" t="s">
        <v>37</v>
      </c>
      <c r="D35" s="325"/>
      <c r="E35" s="2"/>
      <c r="F35" s="2"/>
      <c r="G35" s="2"/>
      <c r="H35" s="2"/>
      <c r="I35" s="2"/>
      <c r="J35" s="2"/>
      <c r="K35" s="165"/>
      <c r="L35" s="165"/>
      <c r="M35" s="166"/>
      <c r="N35" s="167"/>
      <c r="O35" s="166"/>
      <c r="P35" s="167"/>
      <c r="Q35" s="2"/>
    </row>
    <row r="36" spans="1:17" ht="15" x14ac:dyDescent="0.25">
      <c r="A36" s="36">
        <f t="shared" ca="1" si="0"/>
        <v>36</v>
      </c>
      <c r="B36" s="37"/>
      <c r="C36" s="67" t="s">
        <v>8</v>
      </c>
      <c r="D36" s="325" t="s">
        <v>42</v>
      </c>
      <c r="E36" s="2"/>
      <c r="F36" s="2"/>
      <c r="G36" s="2"/>
      <c r="H36" s="2"/>
      <c r="I36" s="2"/>
      <c r="J36" s="2"/>
      <c r="K36" s="165"/>
      <c r="L36" s="165"/>
      <c r="M36" s="166"/>
      <c r="N36" s="167"/>
      <c r="O36" s="166"/>
      <c r="P36" s="167"/>
      <c r="Q36" s="2"/>
    </row>
    <row r="37" spans="1:17" ht="15" x14ac:dyDescent="0.25">
      <c r="A37" s="36">
        <f t="shared" ca="1" si="0"/>
        <v>37</v>
      </c>
      <c r="B37" s="37"/>
      <c r="C37" s="67"/>
      <c r="D37" s="118" t="s">
        <v>214</v>
      </c>
      <c r="E37" s="168">
        <f>'F2 Gewinn'!$E$34</f>
        <v>2200</v>
      </c>
      <c r="F37" s="88" t="str">
        <f>Curr&amp;" (A)"</f>
        <v>€ (A)</v>
      </c>
      <c r="G37" s="169" t="s">
        <v>13</v>
      </c>
      <c r="H37" s="460">
        <f>'F2 Gewinn'!$H$34</f>
        <v>10</v>
      </c>
      <c r="I37" s="407" t="s">
        <v>108</v>
      </c>
      <c r="J37" s="407"/>
      <c r="K37" s="407"/>
      <c r="L37" s="407"/>
      <c r="M37" s="151">
        <f t="shared" ref="M37:P38" si="11">$E37*$H37%</f>
        <v>220</v>
      </c>
      <c r="N37" s="152">
        <f t="shared" si="11"/>
        <v>220</v>
      </c>
      <c r="O37" s="151">
        <f t="shared" si="11"/>
        <v>220</v>
      </c>
      <c r="P37" s="152">
        <f t="shared" si="11"/>
        <v>220</v>
      </c>
    </row>
    <row r="38" spans="1:17" ht="15" x14ac:dyDescent="0.25">
      <c r="A38" s="36">
        <f t="shared" ca="1" si="0"/>
        <v>38</v>
      </c>
      <c r="B38" s="37"/>
      <c r="C38" s="122"/>
      <c r="D38" s="298" t="s">
        <v>232</v>
      </c>
      <c r="E38" s="375">
        <f>'F2 Gewinn'!$E$35</f>
        <v>2000</v>
      </c>
      <c r="F38" s="376" t="str">
        <f>Curr&amp;" (A)"</f>
        <v>€ (A)</v>
      </c>
      <c r="G38" s="377" t="s">
        <v>13</v>
      </c>
      <c r="H38" s="464">
        <f>'F2 Gewinn'!$H$35</f>
        <v>5</v>
      </c>
      <c r="I38" s="408" t="s">
        <v>108</v>
      </c>
      <c r="J38" s="408"/>
      <c r="K38" s="408"/>
      <c r="L38" s="408"/>
      <c r="M38" s="378">
        <f t="shared" si="11"/>
        <v>100</v>
      </c>
      <c r="N38" s="175">
        <f t="shared" si="11"/>
        <v>100</v>
      </c>
      <c r="O38" s="379">
        <f t="shared" si="11"/>
        <v>100</v>
      </c>
      <c r="P38" s="175">
        <f t="shared" si="11"/>
        <v>100</v>
      </c>
    </row>
    <row r="39" spans="1:17" ht="15" x14ac:dyDescent="0.25">
      <c r="A39" s="36">
        <f t="shared" ca="1" si="0"/>
        <v>39</v>
      </c>
      <c r="B39" s="37"/>
      <c r="C39" s="67" t="s">
        <v>8</v>
      </c>
      <c r="D39" s="585" t="s">
        <v>23</v>
      </c>
      <c r="E39" s="644"/>
      <c r="F39" s="645"/>
      <c r="G39" s="666"/>
      <c r="H39" s="646"/>
      <c r="I39" s="667"/>
      <c r="J39" s="667"/>
      <c r="K39" s="667"/>
      <c r="L39" s="667"/>
      <c r="M39" s="668"/>
      <c r="N39" s="669"/>
      <c r="O39" s="670"/>
      <c r="P39" s="669"/>
    </row>
    <row r="40" spans="1:17" ht="15" x14ac:dyDescent="0.25">
      <c r="A40" s="36">
        <f t="shared" ca="1" si="0"/>
        <v>40</v>
      </c>
      <c r="B40" s="37"/>
      <c r="C40" s="67"/>
      <c r="D40" s="118" t="s">
        <v>136</v>
      </c>
      <c r="E40" s="335">
        <f>M5*O5</f>
        <v>1050</v>
      </c>
      <c r="F40" s="638" t="str">
        <f>Curr</f>
        <v>€</v>
      </c>
      <c r="G40" s="662" t="s">
        <v>13</v>
      </c>
      <c r="H40" s="639">
        <f>'F2 Gewinn'!$H$37</f>
        <v>1.5</v>
      </c>
      <c r="I40" s="11" t="s">
        <v>161</v>
      </c>
      <c r="J40" s="11"/>
      <c r="K40" s="11"/>
      <c r="L40" s="11"/>
      <c r="M40" s="663">
        <f>$E40*$H40%</f>
        <v>15.75</v>
      </c>
      <c r="N40" s="664">
        <f>$E40*$H40%</f>
        <v>15.75</v>
      </c>
      <c r="O40" s="663">
        <f>$E40*$H40%</f>
        <v>15.75</v>
      </c>
      <c r="P40" s="664">
        <f>$E40*$H40%</f>
        <v>15.75</v>
      </c>
    </row>
    <row r="41" spans="1:17" ht="15" x14ac:dyDescent="0.25">
      <c r="A41" s="36">
        <f t="shared" ca="1" si="0"/>
        <v>41</v>
      </c>
      <c r="B41" s="37"/>
      <c r="C41" s="122"/>
      <c r="D41" s="10" t="s">
        <v>137</v>
      </c>
      <c r="E41" s="341">
        <f>M5*P5</f>
        <v>1050</v>
      </c>
      <c r="F41" s="342" t="str">
        <f>Curr</f>
        <v>€</v>
      </c>
      <c r="G41" s="457" t="s">
        <v>13</v>
      </c>
      <c r="H41" s="419">
        <f>'F2 Gewinn'!$H$38</f>
        <v>1.5</v>
      </c>
      <c r="I41" s="10" t="s">
        <v>161</v>
      </c>
      <c r="J41" s="10"/>
      <c r="K41" s="10"/>
      <c r="L41" s="10"/>
      <c r="M41" s="385">
        <f>$E41*$H41%</f>
        <v>15.75</v>
      </c>
      <c r="N41" s="386">
        <f>$E41*$H41%</f>
        <v>15.75</v>
      </c>
      <c r="O41" s="409" t="s">
        <v>141</v>
      </c>
      <c r="P41" s="313" t="s">
        <v>141</v>
      </c>
    </row>
    <row r="42" spans="1:17" ht="15" x14ac:dyDescent="0.25">
      <c r="A42" s="36">
        <f t="shared" ca="1" si="0"/>
        <v>42</v>
      </c>
      <c r="B42" s="37"/>
      <c r="C42" s="67" t="s">
        <v>8</v>
      </c>
      <c r="D42" s="647" t="s">
        <v>39</v>
      </c>
      <c r="E42" s="671"/>
      <c r="F42" s="645"/>
      <c r="G42" s="672"/>
      <c r="H42" s="673"/>
      <c r="I42" s="640"/>
      <c r="J42" s="640"/>
      <c r="K42" s="640"/>
      <c r="L42" s="640"/>
      <c r="M42" s="668"/>
      <c r="N42" s="669"/>
      <c r="O42" s="674"/>
      <c r="P42" s="675"/>
    </row>
    <row r="43" spans="1:17" ht="15" x14ac:dyDescent="0.25">
      <c r="A43" s="36">
        <f t="shared" ca="1" si="0"/>
        <v>43</v>
      </c>
      <c r="B43" s="37"/>
      <c r="C43" s="67"/>
      <c r="D43" s="118" t="s">
        <v>136</v>
      </c>
      <c r="E43" s="335">
        <f>M7*O7</f>
        <v>0</v>
      </c>
      <c r="F43" s="11" t="s">
        <v>169</v>
      </c>
      <c r="G43" s="662" t="s">
        <v>13</v>
      </c>
      <c r="H43" s="361">
        <f>'F2 Gewinn'!$H$40</f>
        <v>0</v>
      </c>
      <c r="I43" s="334" t="str">
        <f>Curr&amp;"/AKh"</f>
        <v>€/AKh</v>
      </c>
      <c r="J43" s="334"/>
      <c r="K43" s="334"/>
      <c r="L43" s="334"/>
      <c r="M43" s="665">
        <f>$E43*$H43</f>
        <v>0</v>
      </c>
      <c r="N43" s="664">
        <f>$E43*$H43</f>
        <v>0</v>
      </c>
      <c r="O43" s="665">
        <f>$E43*$H43</f>
        <v>0</v>
      </c>
      <c r="P43" s="664">
        <f>$E43*$H43</f>
        <v>0</v>
      </c>
    </row>
    <row r="44" spans="1:17" ht="15" x14ac:dyDescent="0.25">
      <c r="A44" s="36">
        <f ca="1">CELL("Row",A44)</f>
        <v>44</v>
      </c>
      <c r="B44" s="37"/>
      <c r="C44" s="122"/>
      <c r="D44" s="10" t="s">
        <v>137</v>
      </c>
      <c r="E44" s="341">
        <f>M7*P7</f>
        <v>2</v>
      </c>
      <c r="F44" s="10" t="s">
        <v>169</v>
      </c>
      <c r="G44" s="457" t="s">
        <v>13</v>
      </c>
      <c r="H44" s="367">
        <f>'F2 Gewinn'!$H$41</f>
        <v>30</v>
      </c>
      <c r="I44" s="368" t="str">
        <f>Curr&amp;"/AKh"</f>
        <v>€/AKh</v>
      </c>
      <c r="J44" s="368"/>
      <c r="K44" s="368"/>
      <c r="L44" s="368"/>
      <c r="M44" s="385">
        <f>$E44*$H44</f>
        <v>60</v>
      </c>
      <c r="N44" s="386">
        <f>$E44*$H44</f>
        <v>60</v>
      </c>
      <c r="O44" s="409" t="s">
        <v>141</v>
      </c>
      <c r="P44" s="313" t="s">
        <v>141</v>
      </c>
    </row>
    <row r="45" spans="1:17" ht="15" x14ac:dyDescent="0.25">
      <c r="A45" s="36">
        <f t="shared" ca="1" si="0"/>
        <v>45</v>
      </c>
      <c r="B45" s="37"/>
      <c r="C45" s="67" t="s">
        <v>8</v>
      </c>
      <c r="D45" s="79" t="s">
        <v>216</v>
      </c>
      <c r="E45" s="69"/>
      <c r="F45" s="69"/>
      <c r="G45" s="69"/>
      <c r="H45" s="170">
        <f>'F2 Gewinn'!$H$42</f>
        <v>40</v>
      </c>
      <c r="I45" s="171" t="str">
        <f>Curr&amp;"/"&amp;Unit</f>
        <v>€/ha</v>
      </c>
      <c r="J45" s="171"/>
      <c r="K45" s="171"/>
      <c r="L45" s="171"/>
      <c r="M45" s="172">
        <f>$H$45</f>
        <v>40</v>
      </c>
      <c r="N45" s="152">
        <f>$H$45</f>
        <v>40</v>
      </c>
      <c r="O45" s="151">
        <f>$H$45</f>
        <v>40</v>
      </c>
      <c r="P45" s="152">
        <f>$H$45</f>
        <v>40</v>
      </c>
    </row>
    <row r="46" spans="1:17" ht="15" x14ac:dyDescent="0.25">
      <c r="A46" s="36">
        <f t="shared" ca="1" si="0"/>
        <v>46</v>
      </c>
      <c r="B46" s="37"/>
      <c r="C46" s="122" t="s">
        <v>8</v>
      </c>
      <c r="D46" s="91" t="s">
        <v>217</v>
      </c>
      <c r="E46" s="52"/>
      <c r="F46" s="52"/>
      <c r="G46" s="52"/>
      <c r="H46" s="124">
        <f>'F2 Gewinn'!$H$43</f>
        <v>50</v>
      </c>
      <c r="I46" s="173" t="str">
        <f>Curr&amp;"/"&amp;Unit</f>
        <v>€/ha</v>
      </c>
      <c r="J46" s="173"/>
      <c r="K46" s="173"/>
      <c r="L46" s="173"/>
      <c r="M46" s="174">
        <f>$H$46</f>
        <v>50</v>
      </c>
      <c r="N46" s="175">
        <f>$H$46</f>
        <v>50</v>
      </c>
      <c r="O46" s="176">
        <f>$H$46</f>
        <v>50</v>
      </c>
      <c r="P46" s="175">
        <f>$H$46</f>
        <v>50</v>
      </c>
    </row>
    <row r="47" spans="1:17" ht="15" x14ac:dyDescent="0.25">
      <c r="A47" s="36">
        <f t="shared" ca="1" si="0"/>
        <v>47</v>
      </c>
      <c r="B47" s="37"/>
      <c r="C47" s="177" t="s">
        <v>9</v>
      </c>
      <c r="D47" s="585" t="s">
        <v>47</v>
      </c>
      <c r="E47" s="568"/>
      <c r="F47" s="568"/>
      <c r="G47" s="568"/>
      <c r="H47" s="640"/>
      <c r="I47" s="640"/>
      <c r="J47" s="640"/>
      <c r="K47" s="697" t="s">
        <v>41</v>
      </c>
      <c r="L47" s="410" t="str">
        <f>Unit</f>
        <v>ha</v>
      </c>
      <c r="M47" s="178">
        <f>SUM(M35:M46,M33)</f>
        <v>1758.4760568000002</v>
      </c>
      <c r="N47" s="179">
        <f>SUM(N35:N46,N33)</f>
        <v>1477.4760568000002</v>
      </c>
      <c r="O47" s="180">
        <f>SUM(O35:O46,O33)</f>
        <v>1427.4866856000001</v>
      </c>
      <c r="P47" s="181">
        <f>SUM(P35:P46,P33)</f>
        <v>1146.4866856000001</v>
      </c>
    </row>
    <row r="48" spans="1:17" ht="15.6" thickBot="1" x14ac:dyDescent="0.3">
      <c r="A48" s="36">
        <f t="shared" ca="1" si="0"/>
        <v>48</v>
      </c>
      <c r="B48" s="37"/>
      <c r="C48" s="160"/>
      <c r="D48" s="763" t="s">
        <v>233</v>
      </c>
      <c r="E48" s="692"/>
      <c r="F48" s="764"/>
      <c r="G48" s="692"/>
      <c r="H48" s="764"/>
      <c r="I48" s="764"/>
      <c r="J48" s="764"/>
      <c r="K48" s="765" t="s">
        <v>41</v>
      </c>
      <c r="L48" s="766" t="str">
        <f>ProdUnit</f>
        <v/>
      </c>
      <c r="M48" s="767">
        <f>IF($H$4=0,0,M47/$H$4)</f>
        <v>25.121086525714286</v>
      </c>
      <c r="N48" s="768">
        <f>IF($H$4=0,0,N47/$H$4)</f>
        <v>21.106800811428574</v>
      </c>
      <c r="O48" s="182">
        <f>IF($H$4=0,0,O47/$H$4)</f>
        <v>20.392666937142859</v>
      </c>
      <c r="P48" s="183">
        <f>IF($H$4=0,0,P47/$H$4)</f>
        <v>16.378381222857143</v>
      </c>
    </row>
    <row r="49" spans="1:4" ht="11.25" customHeight="1" thickTop="1" x14ac:dyDescent="0.25">
      <c r="A49" s="36">
        <f t="shared" ca="1" si="0"/>
        <v>49</v>
      </c>
      <c r="B49" s="37"/>
      <c r="C49" s="8"/>
    </row>
    <row r="50" spans="1:4" ht="15" x14ac:dyDescent="0.25">
      <c r="A50" s="36">
        <f t="shared" ca="1" si="0"/>
        <v>50</v>
      </c>
      <c r="B50" s="37"/>
      <c r="C50" s="650" t="s">
        <v>32</v>
      </c>
      <c r="D50" s="650" t="s">
        <v>48</v>
      </c>
    </row>
    <row r="51" spans="1:4" ht="15" x14ac:dyDescent="0.25">
      <c r="B51" s="37"/>
    </row>
    <row r="52" spans="1:4" ht="15" x14ac:dyDescent="0.25">
      <c r="B52" s="37"/>
    </row>
    <row r="53" spans="1:4" ht="15" x14ac:dyDescent="0.25">
      <c r="B53" s="37"/>
    </row>
    <row r="54" spans="1:4" ht="15" x14ac:dyDescent="0.25">
      <c r="B54" s="37"/>
    </row>
    <row r="55" spans="1:4" ht="15" x14ac:dyDescent="0.25">
      <c r="B55" s="37"/>
    </row>
    <row r="56" spans="1:4" ht="15" x14ac:dyDescent="0.25">
      <c r="B56" s="37"/>
    </row>
    <row r="57" spans="1:4" ht="15" x14ac:dyDescent="0.25">
      <c r="B57" s="37"/>
    </row>
    <row r="58" spans="1:4" ht="15" x14ac:dyDescent="0.25">
      <c r="B58" s="37"/>
    </row>
    <row r="59" spans="1:4" ht="15" x14ac:dyDescent="0.25">
      <c r="B59" s="37"/>
    </row>
    <row r="60" spans="1:4" ht="15" x14ac:dyDescent="0.25">
      <c r="B60" s="37"/>
    </row>
    <row r="61" spans="1:4" ht="15" x14ac:dyDescent="0.25">
      <c r="B61" s="37"/>
    </row>
    <row r="62" spans="1:4" ht="15" x14ac:dyDescent="0.25">
      <c r="B62" s="37"/>
    </row>
    <row r="63" spans="1:4" ht="15" x14ac:dyDescent="0.25">
      <c r="B63" s="37"/>
    </row>
    <row r="64" spans="1:4" ht="15" x14ac:dyDescent="0.25">
      <c r="B64" s="37"/>
    </row>
  </sheetData>
  <sheetProtection sheet="1" objects="1" scenarios="1"/>
  <phoneticPr fontId="12" type="noConversion"/>
  <pageMargins left="0.70866141732283472" right="0.47244094488188981" top="0.78740157480314965" bottom="0.62992125984251968" header="0.23622047244094491" footer="0.39370078740157483"/>
  <pageSetup paperSize="9" scale="94" orientation="portrait" blackAndWhite="1" horizontalDpi="300" verticalDpi="300" r:id="rId1"/>
  <headerFooter alignWithMargins="0">
    <oddFooter>&amp;L&amp;8Marktfruchtbau&amp;R&amp;P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Tabelle9">
    <pageSetUpPr fitToPage="1"/>
  </sheetPr>
  <dimension ref="A1:AE40"/>
  <sheetViews>
    <sheetView showGridLines="0" zoomScale="85" workbookViewId="0">
      <selection activeCell="J46" sqref="J46"/>
    </sheetView>
  </sheetViews>
  <sheetFormatPr baseColWidth="10" defaultColWidth="11.44140625" defaultRowHeight="16.8" x14ac:dyDescent="0.3"/>
  <cols>
    <col min="1" max="1" width="1.6640625" style="184" customWidth="1"/>
    <col min="2" max="2" width="3.33203125" style="190" customWidth="1"/>
    <col min="3" max="3" width="12" style="190" customWidth="1"/>
    <col min="4" max="4" width="10.44140625" style="190" customWidth="1"/>
    <col min="5" max="5" width="6.5546875" style="190" bestFit="1" customWidth="1"/>
    <col min="6" max="6" width="5.5546875" style="190" customWidth="1"/>
    <col min="7" max="7" width="8.5546875" style="190" customWidth="1"/>
    <col min="8" max="8" width="5" style="190" customWidth="1"/>
    <col min="9" max="10" width="1.6640625" style="190" customWidth="1"/>
    <col min="11" max="11" width="10.33203125" style="190" customWidth="1"/>
    <col min="12" max="14" width="1.6640625" style="190" customWidth="1"/>
    <col min="15" max="15" width="10.33203125" style="190" customWidth="1"/>
    <col min="16" max="18" width="1.6640625" style="190" customWidth="1"/>
    <col min="19" max="21" width="10.33203125" style="190" customWidth="1"/>
    <col min="22" max="24" width="1.6640625" style="190" customWidth="1"/>
    <col min="25" max="25" width="10.33203125" style="190" customWidth="1"/>
    <col min="26" max="26" width="8.5546875" style="190" customWidth="1"/>
    <col min="27" max="27" width="4.6640625" style="190" customWidth="1"/>
    <col min="28" max="29" width="1.6640625" style="190" customWidth="1"/>
    <col min="30" max="30" width="14.44140625" style="190" customWidth="1"/>
    <col min="31" max="16384" width="11.44140625" style="190"/>
  </cols>
  <sheetData>
    <row r="1" spans="1:31" x14ac:dyDescent="0.3">
      <c r="B1" s="185" t="s">
        <v>0</v>
      </c>
      <c r="C1" s="186"/>
      <c r="D1" s="186"/>
      <c r="E1" s="186"/>
      <c r="F1" s="186"/>
      <c r="G1" s="186"/>
      <c r="H1" s="186"/>
      <c r="I1" s="186"/>
      <c r="J1" s="186"/>
      <c r="K1" s="186"/>
      <c r="L1" s="1004" t="str">
        <f>'F2 Gewinn'!O1</f>
        <v>Weizen 85 dt,</v>
      </c>
      <c r="M1" s="1004"/>
      <c r="N1" s="1004"/>
      <c r="O1" s="1004"/>
      <c r="P1" s="1004"/>
      <c r="Q1" s="1004"/>
      <c r="R1" s="1004"/>
      <c r="S1" s="1004"/>
      <c r="T1" s="189" t="s">
        <v>173</v>
      </c>
      <c r="U1" s="187" t="str">
        <f>Unit</f>
        <v>ha</v>
      </c>
      <c r="AA1" s="761" t="s">
        <v>59</v>
      </c>
    </row>
    <row r="2" spans="1:31" x14ac:dyDescent="0.3">
      <c r="B2" s="186"/>
      <c r="C2" s="186"/>
      <c r="D2" s="186"/>
      <c r="E2" s="186"/>
      <c r="F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8"/>
      <c r="V2" s="188"/>
      <c r="W2" s="188"/>
      <c r="Z2" s="186"/>
      <c r="AA2" s="186"/>
      <c r="AB2" s="186"/>
    </row>
    <row r="3" spans="1:31" ht="6.75" customHeight="1" x14ac:dyDescent="0.3">
      <c r="B3" s="191"/>
      <c r="C3" s="192"/>
      <c r="D3" s="192"/>
      <c r="E3" s="482"/>
      <c r="F3" s="483"/>
      <c r="G3" s="482"/>
      <c r="H3" s="484"/>
      <c r="I3" s="193"/>
      <c r="J3" s="194"/>
      <c r="K3" s="194"/>
      <c r="L3" s="194"/>
      <c r="M3" s="193"/>
      <c r="N3" s="194"/>
      <c r="O3" s="194"/>
      <c r="P3" s="194"/>
      <c r="Q3" s="193"/>
      <c r="R3" s="195"/>
      <c r="S3" s="195"/>
      <c r="T3" s="195"/>
      <c r="U3" s="195"/>
      <c r="V3" s="195"/>
      <c r="W3" s="193"/>
      <c r="X3" s="195"/>
      <c r="Y3" s="195"/>
      <c r="Z3" s="195"/>
      <c r="AA3" s="195"/>
      <c r="AB3" s="195"/>
    </row>
    <row r="4" spans="1:31" x14ac:dyDescent="0.3">
      <c r="B4" s="196" t="s">
        <v>115</v>
      </c>
      <c r="C4" s="197"/>
      <c r="D4" s="197"/>
      <c r="E4" s="485" t="s">
        <v>116</v>
      </c>
      <c r="F4" s="486"/>
      <c r="G4" s="485" t="s">
        <v>160</v>
      </c>
      <c r="H4" s="487"/>
      <c r="I4" s="198"/>
      <c r="J4" s="194"/>
      <c r="K4" s="199" t="s">
        <v>160</v>
      </c>
      <c r="L4" s="200"/>
      <c r="M4" s="201"/>
      <c r="N4" s="200"/>
      <c r="O4" s="202" t="s">
        <v>1</v>
      </c>
      <c r="P4" s="200"/>
      <c r="Q4" s="201"/>
      <c r="R4" s="203"/>
      <c r="S4" s="204" t="s">
        <v>2</v>
      </c>
      <c r="T4" s="205"/>
      <c r="U4" s="206"/>
      <c r="V4" s="195"/>
      <c r="W4" s="193"/>
      <c r="X4" s="203"/>
      <c r="Y4" s="199" t="s">
        <v>106</v>
      </c>
      <c r="Z4" s="194"/>
      <c r="AA4" s="203"/>
      <c r="AB4" s="203"/>
      <c r="AD4" s="515" t="s">
        <v>124</v>
      </c>
      <c r="AE4" s="516"/>
    </row>
    <row r="5" spans="1:31" x14ac:dyDescent="0.3">
      <c r="B5" s="488"/>
      <c r="C5" s="489"/>
      <c r="D5" s="489"/>
      <c r="E5" s="490" t="s">
        <v>178</v>
      </c>
      <c r="F5" s="491"/>
      <c r="G5" s="490" t="s">
        <v>117</v>
      </c>
      <c r="H5" s="492"/>
      <c r="I5" s="198"/>
      <c r="J5" s="194"/>
      <c r="K5" s="209"/>
      <c r="L5" s="194"/>
      <c r="M5" s="193"/>
      <c r="N5" s="194"/>
      <c r="O5" s="210" t="s">
        <v>3</v>
      </c>
      <c r="P5" s="200"/>
      <c r="Q5" s="201"/>
      <c r="R5" s="195"/>
      <c r="S5" s="211" t="s">
        <v>4</v>
      </c>
      <c r="T5" s="212" t="s">
        <v>145</v>
      </c>
      <c r="U5" s="213" t="s">
        <v>146</v>
      </c>
      <c r="V5" s="195"/>
      <c r="W5" s="186"/>
      <c r="X5" s="194"/>
      <c r="Y5" s="210" t="s">
        <v>107</v>
      </c>
      <c r="Z5" s="194"/>
      <c r="AA5" s="195"/>
      <c r="AB5" s="195"/>
      <c r="AD5" s="1005" t="s">
        <v>125</v>
      </c>
      <c r="AE5" s="1006"/>
    </row>
    <row r="6" spans="1:31" ht="5.25" customHeight="1" x14ac:dyDescent="0.3">
      <c r="B6" s="198"/>
      <c r="C6" s="198"/>
      <c r="D6" s="198"/>
      <c r="E6" s="198"/>
      <c r="F6" s="198"/>
      <c r="G6" s="198"/>
      <c r="H6" s="198"/>
      <c r="I6" s="198"/>
      <c r="J6" s="194"/>
      <c r="K6" s="214"/>
      <c r="L6" s="214"/>
      <c r="M6" s="215"/>
      <c r="N6" s="214"/>
      <c r="O6" s="214"/>
      <c r="P6" s="214"/>
      <c r="Q6" s="215"/>
      <c r="R6" s="214"/>
      <c r="S6" s="214"/>
      <c r="T6" s="214"/>
      <c r="U6" s="214"/>
      <c r="V6" s="195"/>
      <c r="W6" s="186"/>
      <c r="X6" s="194"/>
      <c r="Y6" s="214"/>
      <c r="Z6" s="194"/>
      <c r="AA6" s="214"/>
      <c r="AB6" s="214"/>
      <c r="AC6" s="216"/>
      <c r="AD6" s="1005"/>
      <c r="AE6" s="1006"/>
    </row>
    <row r="7" spans="1:31" ht="17.399999999999999" x14ac:dyDescent="0.3">
      <c r="A7" s="217"/>
      <c r="B7" s="218" t="s">
        <v>148</v>
      </c>
      <c r="C7" s="219"/>
      <c r="D7" s="219"/>
      <c r="E7" s="459">
        <f>'F2 Gewinn'!H4</f>
        <v>70</v>
      </c>
      <c r="F7" s="467" t="str">
        <f>$AE$18&amp;" ×"</f>
        <v xml:space="preserve"> ×</v>
      </c>
      <c r="G7" s="459">
        <f>'F2 Gewinn'!H5</f>
        <v>22</v>
      </c>
      <c r="H7" s="221" t="str">
        <f>Curr&amp;"/"&amp;$AE$18</f>
        <v>€/</v>
      </c>
      <c r="I7" s="198"/>
      <c r="J7" s="194"/>
      <c r="K7" s="194"/>
      <c r="L7" s="194"/>
      <c r="M7" s="198"/>
      <c r="N7" s="194"/>
      <c r="O7" s="222">
        <f>$E$7*$G$7</f>
        <v>1540</v>
      </c>
      <c r="P7" s="194"/>
      <c r="Q7" s="198"/>
      <c r="R7" s="194"/>
      <c r="S7" s="222">
        <f>$E$7*$G$7</f>
        <v>1540</v>
      </c>
      <c r="T7" s="223">
        <f>$E$7*$G$7</f>
        <v>1540</v>
      </c>
      <c r="U7" s="222">
        <f>$E$7*$G$7</f>
        <v>1540</v>
      </c>
      <c r="V7" s="195"/>
      <c r="W7" s="186"/>
      <c r="X7" s="194"/>
      <c r="Y7" s="194"/>
      <c r="Z7" s="194"/>
      <c r="AA7" s="194"/>
      <c r="AB7" s="194"/>
      <c r="AD7" s="1005"/>
      <c r="AE7" s="1006"/>
    </row>
    <row r="8" spans="1:31" ht="17.399999999999999" x14ac:dyDescent="0.3">
      <c r="A8" s="217"/>
      <c r="B8" s="224" t="s">
        <v>30</v>
      </c>
      <c r="C8" s="225"/>
      <c r="D8" s="225"/>
      <c r="E8" s="225"/>
      <c r="F8" s="226"/>
      <c r="G8" s="981">
        <f>'F2 Gewinn'!H6+'F2 Gewinn'!H7</f>
        <v>271</v>
      </c>
      <c r="H8" s="228" t="str">
        <f>Curr</f>
        <v>€</v>
      </c>
      <c r="I8" s="198"/>
      <c r="J8" s="194"/>
      <c r="K8" s="229"/>
      <c r="L8" s="194"/>
      <c r="M8" s="198"/>
      <c r="N8" s="194"/>
      <c r="O8" s="230">
        <f>$G$8</f>
        <v>271</v>
      </c>
      <c r="P8" s="194"/>
      <c r="Q8" s="198"/>
      <c r="R8" s="194"/>
      <c r="S8" s="230">
        <f>$G$8</f>
        <v>271</v>
      </c>
      <c r="T8" s="231">
        <f>$G$8</f>
        <v>271</v>
      </c>
      <c r="U8" s="230">
        <f>$G$8</f>
        <v>271</v>
      </c>
      <c r="V8" s="195"/>
      <c r="W8" s="186"/>
      <c r="X8" s="194"/>
      <c r="Y8" s="232">
        <f>-G8</f>
        <v>-271</v>
      </c>
      <c r="Z8" s="194"/>
      <c r="AA8" s="194"/>
      <c r="AB8" s="194"/>
      <c r="AD8" s="1005"/>
      <c r="AE8" s="1006"/>
    </row>
    <row r="9" spans="1:31" ht="17.399999999999999" x14ac:dyDescent="0.3">
      <c r="A9" s="217"/>
      <c r="B9" s="468" t="s">
        <v>112</v>
      </c>
      <c r="C9" s="234"/>
      <c r="D9" s="234"/>
      <c r="E9" s="234"/>
      <c r="F9" s="226"/>
      <c r="G9" s="259">
        <f>'F2 Gewinn'!H8</f>
        <v>1043.2460000000001</v>
      </c>
      <c r="H9" s="235" t="str">
        <f>Curr</f>
        <v>€</v>
      </c>
      <c r="I9" s="198"/>
      <c r="J9" s="194"/>
      <c r="K9" s="250">
        <f>G9</f>
        <v>1043.2460000000001</v>
      </c>
      <c r="L9" s="194"/>
      <c r="M9" s="198"/>
      <c r="N9" s="194"/>
      <c r="O9" s="236">
        <f>-K9</f>
        <v>-1043.2460000000001</v>
      </c>
      <c r="P9" s="194"/>
      <c r="Q9" s="198"/>
      <c r="R9" s="194"/>
      <c r="S9" s="237">
        <f>-K9</f>
        <v>-1043.2460000000001</v>
      </c>
      <c r="T9" s="238">
        <f>-K9</f>
        <v>-1043.2460000000001</v>
      </c>
      <c r="U9" s="237">
        <f>-K9</f>
        <v>-1043.2460000000001</v>
      </c>
      <c r="V9" s="195"/>
      <c r="W9" s="186"/>
      <c r="X9" s="194"/>
      <c r="Y9" s="239">
        <f>K9</f>
        <v>1043.2460000000001</v>
      </c>
      <c r="Z9" s="194"/>
      <c r="AA9" s="194"/>
      <c r="AB9" s="194"/>
      <c r="AD9" s="1005"/>
      <c r="AE9" s="1006"/>
    </row>
    <row r="10" spans="1:31" ht="17.399999999999999" x14ac:dyDescent="0.3">
      <c r="A10" s="217"/>
      <c r="B10" s="240" t="s">
        <v>114</v>
      </c>
      <c r="C10" s="241"/>
      <c r="D10" s="241"/>
      <c r="E10" s="241"/>
      <c r="F10" s="241"/>
      <c r="G10" s="241"/>
      <c r="H10" s="242"/>
      <c r="I10" s="198"/>
      <c r="J10" s="194"/>
      <c r="K10" s="229"/>
      <c r="L10" s="194"/>
      <c r="M10" s="198"/>
      <c r="N10" s="194"/>
      <c r="O10" s="243">
        <f>SUM(O7:O9)</f>
        <v>767.75399999999991</v>
      </c>
      <c r="P10" s="194"/>
      <c r="Q10" s="198"/>
      <c r="R10" s="194"/>
      <c r="S10" s="244"/>
      <c r="T10" s="244"/>
      <c r="U10" s="244"/>
      <c r="V10" s="195"/>
      <c r="W10" s="186"/>
      <c r="X10" s="194"/>
      <c r="Y10" s="257">
        <f>SUM(Y7:Y9)</f>
        <v>772.24600000000009</v>
      </c>
      <c r="Z10" s="258">
        <f>IF($E$7=0,0,Y10/$E$7*$AE$17)</f>
        <v>11.032085714285715</v>
      </c>
      <c r="AA10" s="458" t="str">
        <f>IF(ISBLANK($AE$18),"/___","/ "&amp;FIXED($AE$17,0,TRUE)&amp;" "&amp;$AE$18)</f>
        <v xml:space="preserve">/ 1 </v>
      </c>
      <c r="AB10" s="194"/>
      <c r="AD10" s="1005"/>
      <c r="AE10" s="1006"/>
    </row>
    <row r="11" spans="1:31" ht="17.399999999999999" x14ac:dyDescent="0.3">
      <c r="A11" s="217"/>
      <c r="B11" s="233" t="s">
        <v>149</v>
      </c>
      <c r="C11" s="234"/>
      <c r="D11" s="234"/>
      <c r="E11" s="227">
        <f>'F2 Gewinn'!M4</f>
        <v>625.94760000000008</v>
      </c>
      <c r="F11" s="245" t="str">
        <f>Curr&amp;"  ×"</f>
        <v>€  ×</v>
      </c>
      <c r="G11" s="974">
        <f>'F2 Gewinn'!R4</f>
        <v>1.8000000000000003</v>
      </c>
      <c r="H11" s="246" t="s">
        <v>161</v>
      </c>
      <c r="I11" s="198"/>
      <c r="J11" s="194"/>
      <c r="K11" s="222">
        <f>E11*G11%</f>
        <v>11.267056800000002</v>
      </c>
      <c r="L11" s="194"/>
      <c r="M11" s="198"/>
      <c r="N11" s="194"/>
      <c r="O11" s="247">
        <f>-K11</f>
        <v>-11.267056800000002</v>
      </c>
      <c r="P11" s="194"/>
      <c r="Q11" s="198"/>
      <c r="R11" s="194"/>
      <c r="S11" s="248"/>
      <c r="T11" s="249">
        <f>-K11</f>
        <v>-11.267056800000002</v>
      </c>
      <c r="U11" s="249">
        <f>-K11</f>
        <v>-11.267056800000002</v>
      </c>
      <c r="V11" s="195"/>
      <c r="W11" s="186"/>
      <c r="X11" s="194"/>
      <c r="Y11" s="250">
        <f>K11</f>
        <v>11.267056800000002</v>
      </c>
      <c r="Z11" s="194"/>
      <c r="AA11" s="194"/>
      <c r="AB11" s="194"/>
      <c r="AD11" s="1007"/>
      <c r="AE11" s="1008"/>
    </row>
    <row r="12" spans="1:31" ht="17.399999999999999" x14ac:dyDescent="0.3">
      <c r="A12" s="217"/>
      <c r="B12" s="253" t="s">
        <v>162</v>
      </c>
      <c r="C12" s="254"/>
      <c r="D12" s="254"/>
      <c r="E12" s="254"/>
      <c r="F12" s="254"/>
      <c r="G12" s="254"/>
      <c r="H12" s="255"/>
      <c r="I12" s="198"/>
      <c r="J12" s="194"/>
      <c r="K12" s="256">
        <f>SUM(K9:K11)</f>
        <v>1054.5130568000002</v>
      </c>
      <c r="L12" s="194"/>
      <c r="M12" s="198"/>
      <c r="N12" s="194"/>
      <c r="O12" s="256">
        <f>SUM(O10:O11)</f>
        <v>756.48694319999993</v>
      </c>
      <c r="P12" s="194"/>
      <c r="Q12" s="198"/>
      <c r="R12" s="194"/>
      <c r="S12" s="248"/>
      <c r="T12" s="244"/>
      <c r="U12" s="244"/>
      <c r="V12" s="194"/>
      <c r="W12" s="186"/>
      <c r="X12" s="194"/>
      <c r="Y12" s="257">
        <f>SUM(Y10:Y11)</f>
        <v>783.51305680000007</v>
      </c>
      <c r="Z12" s="258">
        <f>IF($E$7=0,0,Y12/$E$7*$AE$17)</f>
        <v>11.193043668571429</v>
      </c>
      <c r="AA12" s="458" t="str">
        <f>IF(ISBLANK($AE$18),"/___","/ "&amp;FIXED($AE$17,0,TRUE)&amp;" "&amp;$AE$18)</f>
        <v xml:space="preserve">/ 1 </v>
      </c>
      <c r="AB12" s="194"/>
      <c r="AD12" s="1009" t="s">
        <v>126</v>
      </c>
      <c r="AE12" s="1010"/>
    </row>
    <row r="13" spans="1:31" ht="17.399999999999999" x14ac:dyDescent="0.3">
      <c r="A13" s="217"/>
      <c r="B13" s="233" t="s">
        <v>151</v>
      </c>
      <c r="C13" s="234"/>
      <c r="D13" s="234"/>
      <c r="E13" s="259">
        <f>'F2 Gewinn'!M6</f>
        <v>5.9470000000000001</v>
      </c>
      <c r="F13" s="245" t="s">
        <v>152</v>
      </c>
      <c r="G13" s="259">
        <f>'F2 Gewinn'!R6</f>
        <v>29</v>
      </c>
      <c r="H13" s="260" t="str">
        <f>Curr&amp;"/h"</f>
        <v>€/h</v>
      </c>
      <c r="I13" s="198"/>
      <c r="J13" s="194"/>
      <c r="K13" s="230">
        <f>E13*G13</f>
        <v>172.46299999999999</v>
      </c>
      <c r="L13" s="194"/>
      <c r="M13" s="198"/>
      <c r="N13" s="194"/>
      <c r="O13" s="236">
        <f>-K13</f>
        <v>-172.46299999999999</v>
      </c>
      <c r="P13" s="194"/>
      <c r="Q13" s="198"/>
      <c r="R13" s="194"/>
      <c r="S13" s="249">
        <f>-K13</f>
        <v>-172.46299999999999</v>
      </c>
      <c r="T13" s="248"/>
      <c r="U13" s="249">
        <f>-K13</f>
        <v>-172.46299999999999</v>
      </c>
      <c r="V13" s="195"/>
      <c r="W13" s="186"/>
      <c r="X13" s="194"/>
      <c r="Y13" s="250">
        <f>K13</f>
        <v>172.46299999999999</v>
      </c>
      <c r="Z13" s="194"/>
      <c r="AA13" s="194"/>
      <c r="AB13" s="194"/>
      <c r="AD13" s="1011"/>
      <c r="AE13" s="1010"/>
    </row>
    <row r="14" spans="1:31" ht="17.399999999999999" x14ac:dyDescent="0.3">
      <c r="A14" s="217"/>
      <c r="B14" s="261" t="s">
        <v>163</v>
      </c>
      <c r="C14" s="234"/>
      <c r="D14" s="234"/>
      <c r="E14" s="234"/>
      <c r="F14" s="234"/>
      <c r="G14" s="234"/>
      <c r="H14" s="235"/>
      <c r="I14" s="198"/>
      <c r="J14" s="194"/>
      <c r="K14" s="262">
        <f>K12+K13</f>
        <v>1226.9760568000002</v>
      </c>
      <c r="L14" s="194"/>
      <c r="M14" s="198"/>
      <c r="N14" s="194"/>
      <c r="O14" s="262">
        <f>SUM(O12:O13)</f>
        <v>584.02394319999996</v>
      </c>
      <c r="P14" s="194"/>
      <c r="Q14" s="198"/>
      <c r="R14" s="194"/>
      <c r="S14" s="244"/>
      <c r="T14" s="248"/>
      <c r="U14" s="248"/>
      <c r="V14" s="195"/>
      <c r="W14" s="186"/>
      <c r="X14" s="194"/>
      <c r="Y14" s="263">
        <f>SUM(Y12:Y13)</f>
        <v>955.97605680000004</v>
      </c>
      <c r="Z14" s="258">
        <f>IF($E$7=0,0,Y14/$E$7*$AE$17)</f>
        <v>13.656800811428573</v>
      </c>
      <c r="AA14" s="458" t="str">
        <f>IF(ISBLANK($AE$18),"/___","/ "&amp;FIXED($AE$17,0,TRUE)&amp;" "&amp;$AE$18)</f>
        <v xml:space="preserve">/ 1 </v>
      </c>
      <c r="AB14" s="194"/>
      <c r="AD14" s="1011"/>
      <c r="AE14" s="1010"/>
    </row>
    <row r="15" spans="1:31" ht="17.399999999999999" x14ac:dyDescent="0.3">
      <c r="A15" s="217"/>
      <c r="B15" s="233" t="s">
        <v>153</v>
      </c>
      <c r="C15" s="234"/>
      <c r="D15" s="234"/>
      <c r="E15" s="264">
        <f>'F2 Gewinn'!M8</f>
        <v>1</v>
      </c>
      <c r="F15" s="245" t="s">
        <v>154</v>
      </c>
      <c r="G15" s="259">
        <f>'F2 Gewinn'!R8</f>
        <v>300</v>
      </c>
      <c r="H15" s="265" t="str">
        <f>Curr&amp;"/ha"</f>
        <v>€/ha</v>
      </c>
      <c r="I15" s="198"/>
      <c r="J15" s="194"/>
      <c r="K15" s="230">
        <f>E15*G15</f>
        <v>300</v>
      </c>
      <c r="L15" s="194"/>
      <c r="M15" s="198"/>
      <c r="N15" s="194"/>
      <c r="O15" s="236">
        <f>-K15</f>
        <v>-300</v>
      </c>
      <c r="P15" s="194"/>
      <c r="Q15" s="198"/>
      <c r="R15" s="194"/>
      <c r="S15" s="247">
        <f>-K15</f>
        <v>-300</v>
      </c>
      <c r="T15" s="247">
        <f>-K15</f>
        <v>-300</v>
      </c>
      <c r="U15" s="248"/>
      <c r="V15" s="195"/>
      <c r="W15" s="186"/>
      <c r="X15" s="194"/>
      <c r="Y15" s="222">
        <f>K15</f>
        <v>300</v>
      </c>
      <c r="Z15" s="194"/>
      <c r="AA15" s="251"/>
      <c r="AB15" s="194"/>
      <c r="AD15" s="1011"/>
      <c r="AE15" s="1010"/>
    </row>
    <row r="16" spans="1:31" ht="17.399999999999999" x14ac:dyDescent="0.3">
      <c r="A16" s="217"/>
      <c r="B16" s="290" t="s">
        <v>171</v>
      </c>
      <c r="C16" s="241"/>
      <c r="D16" s="241"/>
      <c r="E16" s="241"/>
      <c r="F16" s="472"/>
      <c r="G16" s="982">
        <f>SUM('F2 Gewinn'!L28:L29)</f>
        <v>0</v>
      </c>
      <c r="H16" s="242" t="str">
        <f>Curr</f>
        <v>€</v>
      </c>
      <c r="I16" s="198"/>
      <c r="J16" s="194"/>
      <c r="K16" s="239">
        <f>G16</f>
        <v>0</v>
      </c>
      <c r="L16" s="194"/>
      <c r="M16" s="198"/>
      <c r="N16" s="194"/>
      <c r="O16" s="237">
        <f>-K16</f>
        <v>0</v>
      </c>
      <c r="P16" s="194"/>
      <c r="Q16" s="198"/>
      <c r="R16" s="194"/>
      <c r="S16" s="266">
        <f>-K16</f>
        <v>0</v>
      </c>
      <c r="T16" s="266">
        <f>-K16</f>
        <v>0</v>
      </c>
      <c r="U16" s="249">
        <f>-K16</f>
        <v>0</v>
      </c>
      <c r="V16" s="195"/>
      <c r="W16" s="186"/>
      <c r="X16" s="194"/>
      <c r="Y16" s="267">
        <f>K16</f>
        <v>0</v>
      </c>
      <c r="Z16" s="194"/>
      <c r="AA16" s="194"/>
      <c r="AB16" s="194"/>
      <c r="AD16" s="1012"/>
      <c r="AE16" s="1013"/>
    </row>
    <row r="17" spans="1:31" ht="17.399999999999999" x14ac:dyDescent="0.3">
      <c r="A17" s="217"/>
      <c r="B17" s="270"/>
      <c r="C17" s="197"/>
      <c r="D17" s="225" t="s">
        <v>15</v>
      </c>
      <c r="E17" s="225"/>
      <c r="F17" s="225"/>
      <c r="G17" s="530"/>
      <c r="H17" s="531"/>
      <c r="I17" s="198"/>
      <c r="J17" s="194"/>
      <c r="K17" s="532"/>
      <c r="L17" s="194"/>
      <c r="M17" s="198"/>
      <c r="N17" s="194"/>
      <c r="O17" s="532"/>
      <c r="P17" s="194"/>
      <c r="Q17" s="198"/>
      <c r="R17" s="194"/>
      <c r="S17" s="272">
        <f>SUM(S7:S16)</f>
        <v>295.29099999999994</v>
      </c>
      <c r="T17" s="272">
        <f>SUM(T7:T16)</f>
        <v>456.48694319999993</v>
      </c>
      <c r="U17" s="272">
        <f>SUM(U7:U16)</f>
        <v>584.02394319999996</v>
      </c>
      <c r="V17" s="195"/>
      <c r="W17" s="186"/>
      <c r="X17" s="194"/>
      <c r="Y17" s="532"/>
      <c r="Z17" s="194"/>
      <c r="AA17" s="194"/>
      <c r="AB17" s="194"/>
      <c r="AD17" s="517" t="s">
        <v>127</v>
      </c>
      <c r="AE17" s="518">
        <v>1</v>
      </c>
    </row>
    <row r="18" spans="1:31" ht="17.399999999999999" x14ac:dyDescent="0.3">
      <c r="A18" s="217"/>
      <c r="B18" s="273"/>
      <c r="C18" s="197"/>
      <c r="D18" s="475" t="s">
        <v>113</v>
      </c>
      <c r="E18" s="234"/>
      <c r="F18" s="234"/>
      <c r="G18" s="274"/>
      <c r="H18" s="275"/>
      <c r="I18" s="198"/>
      <c r="J18" s="194"/>
      <c r="K18" s="533"/>
      <c r="L18" s="194"/>
      <c r="M18" s="198"/>
      <c r="N18" s="194"/>
      <c r="O18" s="533"/>
      <c r="P18" s="194"/>
      <c r="Q18" s="198"/>
      <c r="R18" s="194"/>
      <c r="S18" s="276">
        <f>E11</f>
        <v>625.94760000000008</v>
      </c>
      <c r="T18" s="276">
        <f>$E$13</f>
        <v>5.9470000000000001</v>
      </c>
      <c r="U18" s="277">
        <f>$E$15</f>
        <v>1</v>
      </c>
      <c r="V18" s="195"/>
      <c r="W18" s="186"/>
      <c r="X18" s="194"/>
      <c r="Y18" s="533"/>
      <c r="Z18" s="271"/>
      <c r="AA18" s="194"/>
      <c r="AB18" s="194"/>
      <c r="AD18" s="517" t="s">
        <v>128</v>
      </c>
      <c r="AE18" s="519" t="str">
        <f>ProdUnit</f>
        <v/>
      </c>
    </row>
    <row r="19" spans="1:31" ht="17.399999999999999" x14ac:dyDescent="0.3">
      <c r="A19" s="217"/>
      <c r="B19" s="469" t="s">
        <v>164</v>
      </c>
      <c r="C19" s="207"/>
      <c r="D19" s="474"/>
      <c r="E19" s="241"/>
      <c r="F19" s="241"/>
      <c r="G19" s="472"/>
      <c r="H19" s="473"/>
      <c r="I19" s="198"/>
      <c r="J19" s="194"/>
      <c r="K19" s="243">
        <f>SUM(K14:K16)</f>
        <v>1526.9760568000002</v>
      </c>
      <c r="L19" s="194"/>
      <c r="M19" s="198"/>
      <c r="N19" s="194"/>
      <c r="O19" s="243">
        <f>SUM(O14:O16)</f>
        <v>284.02394319999996</v>
      </c>
      <c r="P19" s="194"/>
      <c r="Q19" s="198"/>
      <c r="R19" s="194"/>
      <c r="S19" s="292">
        <f>IF(S18=0,0,S17/S18)</f>
        <v>0.47175035098784612</v>
      </c>
      <c r="T19" s="281">
        <f>IF(T18=0,0,T17/T18)</f>
        <v>76.759196771481413</v>
      </c>
      <c r="U19" s="281">
        <f>IF(U18=0,0,U17/U18)</f>
        <v>584.02394319999996</v>
      </c>
      <c r="V19" s="195"/>
      <c r="W19" s="186"/>
      <c r="X19" s="194"/>
      <c r="Y19" s="269">
        <f>SUM(Y14:Y16)</f>
        <v>1255.9760568000002</v>
      </c>
      <c r="Z19" s="258">
        <f>IF($E$7=0,0,Y19/$E$7*$AE$17)</f>
        <v>17.942515097142859</v>
      </c>
      <c r="AA19" s="458" t="str">
        <f>IF(ISBLANK($AE$18),"/___","/ "&amp;FIXED($AE$17,0,TRUE)&amp;" "&amp;$AE$18)</f>
        <v xml:space="preserve">/ 1 </v>
      </c>
      <c r="AB19" s="194"/>
    </row>
    <row r="20" spans="1:31" ht="6" customHeight="1" x14ac:dyDescent="0.3">
      <c r="A20" s="217"/>
      <c r="B20" s="193"/>
      <c r="C20" s="193"/>
      <c r="D20" s="193"/>
      <c r="E20" s="193"/>
      <c r="F20" s="193"/>
      <c r="G20" s="198"/>
      <c r="H20" s="193"/>
      <c r="I20" s="193"/>
      <c r="J20" s="194"/>
      <c r="K20" s="194"/>
      <c r="L20" s="194"/>
      <c r="M20" s="193"/>
      <c r="N20" s="194"/>
      <c r="O20" s="194"/>
      <c r="P20" s="194"/>
      <c r="Q20" s="193"/>
      <c r="R20" s="195"/>
      <c r="S20" s="195"/>
      <c r="T20" s="195"/>
      <c r="U20" s="195"/>
      <c r="V20" s="195"/>
      <c r="W20" s="186"/>
      <c r="X20" s="195"/>
      <c r="Y20" s="195"/>
      <c r="Z20" s="271"/>
      <c r="AA20" s="195"/>
      <c r="AB20" s="195"/>
    </row>
    <row r="21" spans="1:31" ht="17.399999999999999" x14ac:dyDescent="0.3">
      <c r="A21" s="217"/>
      <c r="B21" s="218" t="s">
        <v>110</v>
      </c>
      <c r="C21" s="219"/>
      <c r="D21" s="219"/>
      <c r="E21" s="220">
        <f>'F2 Gewinn'!E34</f>
        <v>2200</v>
      </c>
      <c r="F21" s="282" t="str">
        <f>Curr&amp;"  ×"</f>
        <v>€  ×</v>
      </c>
      <c r="G21" s="465">
        <f>'F2 Gewinn'!$H$34</f>
        <v>10</v>
      </c>
      <c r="H21" s="221" t="s">
        <v>161</v>
      </c>
      <c r="I21" s="198"/>
      <c r="J21" s="194"/>
      <c r="K21" s="222">
        <f>E21*G21%</f>
        <v>220</v>
      </c>
      <c r="L21" s="194"/>
      <c r="M21" s="198"/>
      <c r="N21" s="194"/>
      <c r="O21" s="247">
        <f t="shared" ref="O21:O26" si="0">-K21</f>
        <v>-220</v>
      </c>
      <c r="P21" s="194"/>
      <c r="Q21" s="198"/>
      <c r="R21" s="194"/>
      <c r="S21" s="247">
        <f>-K21</f>
        <v>-220</v>
      </c>
      <c r="T21" s="247">
        <f>-K21</f>
        <v>-220</v>
      </c>
      <c r="U21" s="247">
        <f t="shared" ref="U21:U26" si="1">-K21</f>
        <v>-220</v>
      </c>
      <c r="V21" s="195"/>
      <c r="W21" s="186"/>
      <c r="X21" s="194"/>
      <c r="Y21" s="222">
        <f t="shared" ref="Y21:Y26" si="2">K21</f>
        <v>220</v>
      </c>
      <c r="Z21" s="271"/>
      <c r="AA21" s="194"/>
      <c r="AB21" s="194"/>
    </row>
    <row r="22" spans="1:31" ht="17.399999999999999" x14ac:dyDescent="0.3">
      <c r="A22" s="217"/>
      <c r="B22" s="224" t="s">
        <v>111</v>
      </c>
      <c r="C22" s="225"/>
      <c r="D22" s="225"/>
      <c r="E22" s="283">
        <f>'F2 Gewinn'!E35</f>
        <v>2000</v>
      </c>
      <c r="F22" s="284" t="str">
        <f>Curr&amp;"  ×"</f>
        <v>€  ×</v>
      </c>
      <c r="G22" s="466">
        <f>'F2 Gewinn'!$H$35</f>
        <v>5</v>
      </c>
      <c r="H22" s="228" t="s">
        <v>161</v>
      </c>
      <c r="I22" s="198"/>
      <c r="J22" s="194"/>
      <c r="K22" s="268">
        <f>E22*G22%</f>
        <v>100</v>
      </c>
      <c r="L22" s="194"/>
      <c r="M22" s="198"/>
      <c r="N22" s="194"/>
      <c r="O22" s="285">
        <f t="shared" si="0"/>
        <v>-100</v>
      </c>
      <c r="P22" s="194"/>
      <c r="Q22" s="198"/>
      <c r="R22" s="194"/>
      <c r="S22" s="266">
        <f>-K22</f>
        <v>-100</v>
      </c>
      <c r="T22" s="285">
        <f>-K22</f>
        <v>-100</v>
      </c>
      <c r="U22" s="285">
        <f t="shared" si="1"/>
        <v>-100</v>
      </c>
      <c r="V22" s="195"/>
      <c r="W22" s="186"/>
      <c r="X22" s="194"/>
      <c r="Y22" s="230">
        <f t="shared" si="2"/>
        <v>100</v>
      </c>
      <c r="Z22" s="271"/>
      <c r="AA22" s="194"/>
      <c r="AB22" s="194"/>
    </row>
    <row r="23" spans="1:31" ht="17.399999999999999" x14ac:dyDescent="0.3">
      <c r="A23" s="217"/>
      <c r="B23" s="233" t="s">
        <v>155</v>
      </c>
      <c r="C23" s="234"/>
      <c r="D23" s="234"/>
      <c r="E23" s="227">
        <f>SUM(E21:E22)/2</f>
        <v>2100</v>
      </c>
      <c r="F23" s="286" t="str">
        <f>Curr&amp;"  ×"</f>
        <v>€  ×</v>
      </c>
      <c r="G23" s="466">
        <f>'F2 Gewinn'!R5%*100</f>
        <v>1.5</v>
      </c>
      <c r="H23" s="235" t="s">
        <v>161</v>
      </c>
      <c r="I23" s="198"/>
      <c r="J23" s="194"/>
      <c r="K23" s="230">
        <f>E23*G23%</f>
        <v>31.5</v>
      </c>
      <c r="L23" s="194"/>
      <c r="M23" s="198"/>
      <c r="N23" s="194"/>
      <c r="O23" s="236">
        <f t="shared" si="0"/>
        <v>-31.5</v>
      </c>
      <c r="P23" s="194"/>
      <c r="Q23" s="198"/>
      <c r="R23" s="194"/>
      <c r="S23" s="195"/>
      <c r="T23" s="287">
        <f>-K23</f>
        <v>-31.5</v>
      </c>
      <c r="U23" s="287">
        <f t="shared" si="1"/>
        <v>-31.5</v>
      </c>
      <c r="V23" s="195"/>
      <c r="W23" s="186"/>
      <c r="X23" s="194"/>
      <c r="Y23" s="230">
        <f t="shared" si="2"/>
        <v>31.5</v>
      </c>
      <c r="Z23" s="271"/>
      <c r="AA23" s="194"/>
      <c r="AB23" s="194"/>
    </row>
    <row r="24" spans="1:31" ht="17.399999999999999" x14ac:dyDescent="0.3">
      <c r="A24" s="217"/>
      <c r="B24" s="233" t="s">
        <v>156</v>
      </c>
      <c r="C24" s="234"/>
      <c r="D24" s="234"/>
      <c r="E24" s="288">
        <f>'F2 Gewinn'!M7</f>
        <v>2</v>
      </c>
      <c r="F24" s="245" t="s">
        <v>152</v>
      </c>
      <c r="G24" s="259">
        <f>'F2 Gewinn'!R7</f>
        <v>30</v>
      </c>
      <c r="H24" s="260" t="str">
        <f>Curr&amp;"/h"</f>
        <v>€/h</v>
      </c>
      <c r="I24" s="198"/>
      <c r="J24" s="194"/>
      <c r="K24" s="230">
        <f>E24*G24</f>
        <v>60</v>
      </c>
      <c r="L24" s="194"/>
      <c r="M24" s="198"/>
      <c r="N24" s="194"/>
      <c r="O24" s="236">
        <f t="shared" si="0"/>
        <v>-60</v>
      </c>
      <c r="P24" s="194"/>
      <c r="Q24" s="198"/>
      <c r="R24" s="194"/>
      <c r="S24" s="247">
        <f>-K24</f>
        <v>-60</v>
      </c>
      <c r="T24" s="289"/>
      <c r="U24" s="236">
        <f t="shared" si="1"/>
        <v>-60</v>
      </c>
      <c r="V24" s="195"/>
      <c r="W24" s="186"/>
      <c r="X24" s="194"/>
      <c r="Y24" s="230">
        <f t="shared" si="2"/>
        <v>60</v>
      </c>
      <c r="Z24" s="271"/>
      <c r="AA24" s="194"/>
      <c r="AB24" s="194"/>
      <c r="AE24" s="252" t="s">
        <v>150</v>
      </c>
    </row>
    <row r="25" spans="1:31" ht="17.399999999999999" x14ac:dyDescent="0.3">
      <c r="A25" s="217"/>
      <c r="B25" s="233" t="s">
        <v>109</v>
      </c>
      <c r="C25" s="234"/>
      <c r="D25" s="234"/>
      <c r="E25" s="234"/>
      <c r="F25" s="226"/>
      <c r="G25" s="259">
        <f>'F2 Gewinn'!H42</f>
        <v>40</v>
      </c>
      <c r="H25" s="235" t="str">
        <f>Curr</f>
        <v>€</v>
      </c>
      <c r="I25" s="198"/>
      <c r="J25" s="194"/>
      <c r="K25" s="230">
        <f>G25</f>
        <v>40</v>
      </c>
      <c r="L25" s="194"/>
      <c r="M25" s="198"/>
      <c r="N25" s="194"/>
      <c r="O25" s="236">
        <f t="shared" si="0"/>
        <v>-40</v>
      </c>
      <c r="P25" s="194"/>
      <c r="Q25" s="198"/>
      <c r="R25" s="194"/>
      <c r="S25" s="285">
        <f>-K25</f>
        <v>-40</v>
      </c>
      <c r="T25" s="285">
        <f>-K25</f>
        <v>-40</v>
      </c>
      <c r="U25" s="285">
        <f t="shared" si="1"/>
        <v>-40</v>
      </c>
      <c r="V25" s="195"/>
      <c r="W25" s="186"/>
      <c r="X25" s="194"/>
      <c r="Y25" s="230">
        <f t="shared" si="2"/>
        <v>40</v>
      </c>
      <c r="Z25" s="271"/>
      <c r="AA25" s="194"/>
      <c r="AB25" s="194"/>
    </row>
    <row r="26" spans="1:31" ht="17.399999999999999" x14ac:dyDescent="0.3">
      <c r="A26" s="217"/>
      <c r="B26" s="290" t="s">
        <v>217</v>
      </c>
      <c r="C26" s="241"/>
      <c r="D26" s="241"/>
      <c r="E26" s="241"/>
      <c r="F26" s="226"/>
      <c r="G26" s="259">
        <f>'F2 Gewinn'!H43</f>
        <v>50</v>
      </c>
      <c r="H26" s="242" t="str">
        <f>Curr</f>
        <v>€</v>
      </c>
      <c r="I26" s="198"/>
      <c r="J26" s="194"/>
      <c r="K26" s="239">
        <f>G26</f>
        <v>50</v>
      </c>
      <c r="L26" s="194"/>
      <c r="M26" s="198"/>
      <c r="N26" s="194"/>
      <c r="O26" s="237">
        <f t="shared" si="0"/>
        <v>-50</v>
      </c>
      <c r="P26" s="194"/>
      <c r="Q26" s="198"/>
      <c r="R26" s="194"/>
      <c r="S26" s="237">
        <f>-K26</f>
        <v>-50</v>
      </c>
      <c r="T26" s="237">
        <f>-K26</f>
        <v>-50</v>
      </c>
      <c r="U26" s="237">
        <f t="shared" si="1"/>
        <v>-50</v>
      </c>
      <c r="V26" s="195"/>
      <c r="W26" s="186"/>
      <c r="X26" s="194"/>
      <c r="Y26" s="239">
        <f t="shared" si="2"/>
        <v>50</v>
      </c>
      <c r="Z26" s="251"/>
      <c r="AA26" s="194"/>
      <c r="AB26" s="194"/>
    </row>
    <row r="27" spans="1:31" ht="17.399999999999999" x14ac:dyDescent="0.3">
      <c r="A27" s="217"/>
      <c r="B27" s="270"/>
      <c r="C27" s="197"/>
      <c r="D27" s="219" t="s">
        <v>16</v>
      </c>
      <c r="E27" s="219"/>
      <c r="F27" s="219"/>
      <c r="G27" s="470"/>
      <c r="H27" s="471"/>
      <c r="I27" s="198"/>
      <c r="J27" s="194"/>
      <c r="K27" s="532"/>
      <c r="L27" s="194"/>
      <c r="M27" s="198"/>
      <c r="N27" s="194"/>
      <c r="O27" s="532"/>
      <c r="P27" s="194"/>
      <c r="Q27" s="198"/>
      <c r="R27" s="194"/>
      <c r="S27" s="272">
        <f>SUM(S7:S16,S21:S26)</f>
        <v>-174.70900000000006</v>
      </c>
      <c r="T27" s="272">
        <f>SUM(T7:T16,T21:T26)</f>
        <v>14.986943199999928</v>
      </c>
      <c r="U27" s="272">
        <f>SUM(U7:U16,U21:U26)</f>
        <v>82.523943199999962</v>
      </c>
      <c r="V27" s="195"/>
      <c r="W27" s="186"/>
      <c r="X27" s="194"/>
      <c r="Y27" s="532"/>
      <c r="Z27" s="194"/>
      <c r="AA27" s="194"/>
      <c r="AB27" s="194"/>
    </row>
    <row r="28" spans="1:31" ht="17.399999999999999" x14ac:dyDescent="0.3">
      <c r="A28" s="217"/>
      <c r="B28" s="273"/>
      <c r="C28" s="197"/>
      <c r="D28" s="475" t="s">
        <v>113</v>
      </c>
      <c r="E28" s="234"/>
      <c r="F28" s="234"/>
      <c r="G28" s="274"/>
      <c r="H28" s="275"/>
      <c r="I28" s="198"/>
      <c r="J28" s="194"/>
      <c r="K28" s="533"/>
      <c r="L28" s="194"/>
      <c r="M28" s="198"/>
      <c r="N28" s="194"/>
      <c r="O28" s="533"/>
      <c r="P28" s="194"/>
      <c r="Q28" s="198"/>
      <c r="R28" s="194"/>
      <c r="S28" s="276">
        <f>E11+E23</f>
        <v>2725.9476</v>
      </c>
      <c r="T28" s="276">
        <f>$E$13+$E$24</f>
        <v>7.9470000000000001</v>
      </c>
      <c r="U28" s="277">
        <f>$E$15</f>
        <v>1</v>
      </c>
      <c r="V28" s="195"/>
      <c r="W28" s="186"/>
      <c r="X28" s="194"/>
      <c r="Y28" s="533"/>
      <c r="Z28" s="194"/>
      <c r="AA28" s="194"/>
      <c r="AB28" s="194"/>
    </row>
    <row r="29" spans="1:31" ht="17.399999999999999" x14ac:dyDescent="0.3">
      <c r="A29" s="217"/>
      <c r="B29" s="270" t="s">
        <v>157</v>
      </c>
      <c r="C29" s="197"/>
      <c r="D29" s="476"/>
      <c r="E29" s="254"/>
      <c r="F29" s="254"/>
      <c r="G29" s="477"/>
      <c r="H29" s="478"/>
      <c r="I29" s="198"/>
      <c r="J29" s="194"/>
      <c r="K29" s="243">
        <f>SUM(K17:K26)</f>
        <v>2028.4760568000002</v>
      </c>
      <c r="L29" s="194"/>
      <c r="M29" s="198"/>
      <c r="N29" s="194"/>
      <c r="O29" s="243">
        <f>SUM(O17:O26)</f>
        <v>-217.47605680000004</v>
      </c>
      <c r="P29" s="194"/>
      <c r="Q29" s="198"/>
      <c r="R29" s="194"/>
      <c r="S29" s="292">
        <f>IF(S28=0,0,S27/S28)</f>
        <v>-6.4091107253859192E-2</v>
      </c>
      <c r="T29" s="281">
        <f>IF(T28=0,0,T27/T28)</f>
        <v>1.8858617339876591</v>
      </c>
      <c r="U29" s="281">
        <f>IF(U28=0,0,U27/U28)</f>
        <v>82.523943199999962</v>
      </c>
      <c r="V29" s="195"/>
      <c r="W29" s="186"/>
      <c r="X29" s="194"/>
      <c r="Y29" s="291">
        <f>SUM(Y17:Y26)</f>
        <v>1757.4760568000002</v>
      </c>
      <c r="Z29" s="258">
        <f>IF($E$7=0,0,Y29/$E$7*$AE$17)</f>
        <v>25.106800811428574</v>
      </c>
      <c r="AA29" s="458" t="str">
        <f>IF(ISBLANK($AE$18),"/___","/ "&amp;FIXED($AE$17,0,TRUE)&amp;" "&amp;$AE$18)</f>
        <v xml:space="preserve">/ 1 </v>
      </c>
      <c r="AB29" s="194"/>
    </row>
    <row r="30" spans="1:31" ht="6.75" customHeight="1" x14ac:dyDescent="0.3">
      <c r="B30" s="278"/>
      <c r="C30" s="207"/>
      <c r="D30" s="207"/>
      <c r="E30" s="207"/>
      <c r="F30" s="207"/>
      <c r="G30" s="279"/>
      <c r="H30" s="280"/>
      <c r="I30" s="193"/>
      <c r="J30" s="195"/>
      <c r="K30" s="195"/>
      <c r="L30" s="195"/>
      <c r="M30" s="193"/>
      <c r="N30" s="195"/>
      <c r="O30" s="195"/>
      <c r="P30" s="195"/>
      <c r="Q30" s="193"/>
      <c r="R30" s="195"/>
      <c r="S30" s="195"/>
      <c r="T30" s="195"/>
      <c r="U30" s="195"/>
      <c r="V30" s="195"/>
      <c r="W30" s="186"/>
      <c r="X30" s="195"/>
      <c r="Y30" s="195"/>
      <c r="Z30" s="195"/>
      <c r="AA30" s="195"/>
      <c r="AB30" s="195"/>
    </row>
    <row r="31" spans="1:31" ht="6.75" customHeight="1" x14ac:dyDescent="0.3">
      <c r="B31" s="293"/>
      <c r="C31" s="293"/>
      <c r="D31" s="293"/>
      <c r="E31" s="293"/>
      <c r="F31" s="293"/>
      <c r="G31" s="294"/>
      <c r="H31" s="293"/>
      <c r="I31" s="293"/>
      <c r="J31" s="293"/>
      <c r="K31" s="293"/>
      <c r="L31" s="293"/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X31" s="293"/>
      <c r="Y31" s="293"/>
      <c r="Z31" s="293"/>
      <c r="AA31" s="293"/>
      <c r="AB31" s="293"/>
    </row>
    <row r="32" spans="1:31" ht="6.75" customHeight="1" x14ac:dyDescent="0.3">
      <c r="B32" s="534"/>
      <c r="C32" s="535"/>
      <c r="D32" s="536"/>
      <c r="E32" s="535"/>
      <c r="F32" s="535"/>
      <c r="G32" s="537"/>
      <c r="H32" s="538"/>
      <c r="I32" s="293"/>
      <c r="J32" s="195"/>
      <c r="K32" s="195"/>
      <c r="L32" s="195"/>
      <c r="M32" s="193"/>
      <c r="N32" s="195"/>
      <c r="O32" s="195"/>
      <c r="P32" s="195"/>
      <c r="Q32" s="193"/>
      <c r="R32" s="195"/>
      <c r="S32" s="195"/>
      <c r="T32" s="195"/>
      <c r="U32" s="195"/>
      <c r="V32" s="195"/>
      <c r="W32" s="186"/>
      <c r="X32" s="195"/>
      <c r="Y32" s="195"/>
      <c r="Z32" s="195"/>
      <c r="AA32" s="195"/>
      <c r="AB32" s="195"/>
    </row>
    <row r="33" spans="1:28" ht="17.399999999999999" x14ac:dyDescent="0.3">
      <c r="A33" s="217"/>
      <c r="B33" s="539" t="s">
        <v>17</v>
      </c>
      <c r="C33" s="540"/>
      <c r="D33" s="541"/>
      <c r="E33" s="540"/>
      <c r="F33" s="540"/>
      <c r="G33" s="981">
        <f>'F2 Gewinn'!H9</f>
        <v>280</v>
      </c>
      <c r="H33" s="228" t="str">
        <f>Curr</f>
        <v>€</v>
      </c>
      <c r="I33" s="542"/>
      <c r="J33" s="543"/>
      <c r="K33" s="229"/>
      <c r="L33" s="543"/>
      <c r="M33" s="542"/>
      <c r="N33" s="543"/>
      <c r="O33" s="544">
        <f>IF($G$33=0,0,O19+$G$33)</f>
        <v>564.02394319999996</v>
      </c>
      <c r="P33" s="543"/>
      <c r="Q33" s="542"/>
      <c r="R33" s="543"/>
      <c r="S33" s="561">
        <f>IF($G$33=0,0,IF(S18=0,0,(S17+$G$33)/S18))</f>
        <v>0.91907213958484679</v>
      </c>
      <c r="T33" s="544">
        <f>IF($G$33=0,0,IF(T18=0,0,(T17+$G$33)/T18))</f>
        <v>123.84175940810492</v>
      </c>
      <c r="U33" s="544">
        <f>IF($G$33=0,0,IF(U18=0,0,(U17+$G$33)/U18))</f>
        <v>864.02394319999996</v>
      </c>
      <c r="V33" s="545"/>
      <c r="W33" s="546"/>
      <c r="X33" s="543"/>
      <c r="Y33" s="547">
        <f>IF($G$33=0,0,Y19-$G$33)</f>
        <v>975.97605680000015</v>
      </c>
      <c r="Z33" s="548">
        <f>IF($E$7=0,0,Y33/$E$7*$AE$17)</f>
        <v>13.942515097142859</v>
      </c>
      <c r="AA33" s="549" t="str">
        <f>IF(ISBLANK($AE$18),"/___","/ "&amp;FIXED($AE$17,0,TRUE)&amp;" "&amp;$AE$18)</f>
        <v xml:space="preserve">/ 1 </v>
      </c>
      <c r="AB33" s="194"/>
    </row>
    <row r="34" spans="1:28" ht="17.399999999999999" x14ac:dyDescent="0.3">
      <c r="A34" s="217"/>
      <c r="B34" s="550" t="s">
        <v>18</v>
      </c>
      <c r="C34" s="551"/>
      <c r="D34" s="552"/>
      <c r="E34" s="551"/>
      <c r="F34" s="551"/>
      <c r="G34" s="983">
        <f>G33</f>
        <v>280</v>
      </c>
      <c r="H34" s="255" t="str">
        <f>Curr</f>
        <v>€</v>
      </c>
      <c r="I34" s="542"/>
      <c r="J34" s="543"/>
      <c r="K34" s="229"/>
      <c r="L34" s="543"/>
      <c r="M34" s="542"/>
      <c r="N34" s="543"/>
      <c r="O34" s="553">
        <f>IF($G$34=0,0,O29+$G$34)</f>
        <v>62.523943199999962</v>
      </c>
      <c r="P34" s="543"/>
      <c r="Q34" s="542"/>
      <c r="R34" s="543"/>
      <c r="S34" s="562">
        <f>IF($G$34=0,0,IF(S28=0,0,(S27+$G$34)/S28))</f>
        <v>3.8625467342072145E-2</v>
      </c>
      <c r="T34" s="553">
        <f>IF($G$34=0,0,IF(T28=0,0,(T27+$G$34)/T28))</f>
        <v>37.119283150874537</v>
      </c>
      <c r="U34" s="553">
        <f>IF($G$34=0,0,IF(U28=0,0,(U27+$G$34)/U28))</f>
        <v>362.52394319999996</v>
      </c>
      <c r="V34" s="545"/>
      <c r="W34" s="546"/>
      <c r="X34" s="543"/>
      <c r="Y34" s="554">
        <f>IF($G$34=0,0,Y29-$G$34)</f>
        <v>1477.4760568000002</v>
      </c>
      <c r="Z34" s="555">
        <f>IF($E$7=0,0,Y34/$E$7*$AE$17)</f>
        <v>21.106800811428574</v>
      </c>
      <c r="AA34" s="549" t="str">
        <f>IF(ISBLANK($AE$18),"/___","/ "&amp;FIXED($AE$17,0,TRUE)&amp;" "&amp;$AE$18)</f>
        <v xml:space="preserve">/ 1 </v>
      </c>
      <c r="AB34" s="194"/>
    </row>
    <row r="35" spans="1:28" ht="6.75" customHeight="1" x14ac:dyDescent="0.3">
      <c r="B35" s="556"/>
      <c r="C35" s="557"/>
      <c r="D35" s="558"/>
      <c r="E35" s="557"/>
      <c r="F35" s="557"/>
      <c r="G35" s="559"/>
      <c r="H35" s="560"/>
      <c r="I35" s="293"/>
      <c r="J35" s="195"/>
      <c r="K35" s="195"/>
      <c r="L35" s="195"/>
      <c r="M35" s="193"/>
      <c r="N35" s="195"/>
      <c r="O35" s="195"/>
      <c r="P35" s="195"/>
      <c r="Q35" s="193"/>
      <c r="R35" s="195"/>
      <c r="S35" s="195"/>
      <c r="T35" s="195"/>
      <c r="U35" s="195"/>
      <c r="V35" s="195"/>
      <c r="W35" s="186"/>
      <c r="X35" s="195"/>
      <c r="Y35" s="195"/>
      <c r="Z35" s="195"/>
      <c r="AA35" s="195"/>
      <c r="AB35" s="195"/>
    </row>
    <row r="36" spans="1:28" x14ac:dyDescent="0.3">
      <c r="I36" s="293"/>
    </row>
    <row r="37" spans="1:28" x14ac:dyDescent="0.3">
      <c r="I37" s="293"/>
    </row>
    <row r="38" spans="1:28" x14ac:dyDescent="0.3">
      <c r="I38" s="293"/>
    </row>
    <row r="39" spans="1:28" x14ac:dyDescent="0.3">
      <c r="I39" s="293"/>
    </row>
    <row r="40" spans="1:28" x14ac:dyDescent="0.3">
      <c r="I40" s="293"/>
    </row>
  </sheetData>
  <sheetProtection sheet="1" objects="1" scenarios="1"/>
  <mergeCells count="3">
    <mergeCell ref="L1:S1"/>
    <mergeCell ref="AD5:AE11"/>
    <mergeCell ref="AD12:AE16"/>
  </mergeCells>
  <phoneticPr fontId="12" type="noConversion"/>
  <dataValidations disablePrompts="1" xWindow="142" yWindow="340" count="1">
    <dataValidation type="whole" operator="greaterThan" allowBlank="1" showInputMessage="1" showErrorMessage="1" errorTitle="Eigabefehler" error="Es sind nur ganze positive Zahlen möglich!" sqref="AE17" xr:uid="{00000000-0002-0000-0500-000000000000}">
      <formula1>0</formula1>
    </dataValidation>
  </dataValidations>
  <printOptions horizontalCentered="1" verticalCentered="1"/>
  <pageMargins left="0.31496062992125984" right="0.31496062992125984" top="0.78740157480314965" bottom="0.59055118110236227" header="0.51181102362204722" footer="0.31496062992125984"/>
  <pageSetup paperSize="9" scale="98" orientation="landscape" horizontalDpi="300" verticalDpi="300" r:id="rId1"/>
  <headerFooter alignWithMargins="0">
    <oddFooter>&amp;L&amp;8Marktfruchtbau&amp;R&amp;P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10</vt:i4>
      </vt:variant>
    </vt:vector>
  </HeadingPairs>
  <TitlesOfParts>
    <vt:vector size="16" baseType="lpstr">
      <vt:lpstr>F1 DB</vt:lpstr>
      <vt:lpstr>F1a Düngung</vt:lpstr>
      <vt:lpstr>F2 Gewinn</vt:lpstr>
      <vt:lpstr>F3 Faktorentgelt</vt:lpstr>
      <vt:lpstr>F4 Schwellen</vt:lpstr>
      <vt:lpstr>F5 Analyse</vt:lpstr>
      <vt:lpstr>Curr</vt:lpstr>
      <vt:lpstr>'F1 DB'!Druckbereich</vt:lpstr>
      <vt:lpstr>'F1a Düngung'!Druckbereich</vt:lpstr>
      <vt:lpstr>'F2 Gewinn'!Druckbereich</vt:lpstr>
      <vt:lpstr>'F3 Faktorentgelt'!Druckbereich</vt:lpstr>
      <vt:lpstr>'F4 Schwellen'!Druckbereich</vt:lpstr>
      <vt:lpstr>'F5 Analyse'!Druckbereich</vt:lpstr>
      <vt:lpstr>ProdUnit</vt:lpstr>
      <vt:lpstr>pvVar</vt:lpstr>
      <vt:lpstr>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Christian.Schuh@fh-weihenstephan.de</dc:creator>
  <cp:lastModifiedBy>admin</cp:lastModifiedBy>
  <cp:lastPrinted>2021-12-01T12:37:21Z</cp:lastPrinted>
  <dcterms:created xsi:type="dcterms:W3CDTF">2002-04-22T10:30:49Z</dcterms:created>
  <dcterms:modified xsi:type="dcterms:W3CDTF">2021-12-01T15:56:22Z</dcterms:modified>
</cp:coreProperties>
</file>