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grartechnik\3.Semester\2021-22\"/>
    </mc:Choice>
  </mc:AlternateContent>
  <xr:revisionPtr revIDLastSave="0" documentId="8_{43487CE9-A4A3-44E1-BC67-208A7EFF5759}" xr6:coauthVersionLast="36" xr6:coauthVersionMax="36" xr10:uidLastSave="{00000000-0000-0000-0000-000000000000}"/>
  <bookViews>
    <workbookView xWindow="0" yWindow="0" windowWidth="23040" windowHeight="10404" xr2:uid="{AB05D2F0-49E0-4EDC-A700-F4F821BFE9CB}"/>
  </bookViews>
  <sheets>
    <sheet name="Spritze " sheetId="3" r:id="rId1"/>
    <sheet name="DBWinterdienst" sheetId="1" r:id="rId2"/>
    <sheet name="Lohnkosten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3" l="1"/>
  <c r="F105" i="3"/>
  <c r="F103" i="3"/>
  <c r="F97" i="3"/>
  <c r="F95" i="3"/>
  <c r="F94" i="3"/>
  <c r="F93" i="3"/>
  <c r="H90" i="3"/>
  <c r="H88" i="3"/>
  <c r="H86" i="3"/>
  <c r="H84" i="3"/>
  <c r="H80" i="3"/>
  <c r="G80" i="3"/>
  <c r="H74" i="3"/>
  <c r="G74" i="3"/>
  <c r="H72" i="3"/>
  <c r="G72" i="3"/>
  <c r="H70" i="3"/>
  <c r="G70" i="3"/>
  <c r="C68" i="3"/>
  <c r="H65" i="3"/>
  <c r="G65" i="3"/>
  <c r="H61" i="3"/>
  <c r="G61" i="3"/>
  <c r="G59" i="3"/>
  <c r="H59" i="3" s="1"/>
  <c r="H55" i="3"/>
  <c r="G55" i="3"/>
  <c r="H53" i="3"/>
  <c r="G53" i="3"/>
  <c r="D51" i="3"/>
  <c r="H49" i="3"/>
  <c r="G49" i="3"/>
  <c r="H47" i="3"/>
  <c r="G47" i="3"/>
  <c r="H45" i="3"/>
  <c r="G40" i="3"/>
  <c r="H38" i="3"/>
  <c r="H35" i="3"/>
  <c r="H32" i="3"/>
  <c r="H28" i="3"/>
  <c r="H24" i="3"/>
  <c r="H22" i="3"/>
  <c r="H21" i="3"/>
  <c r="F21" i="3"/>
  <c r="D20" i="3"/>
  <c r="H16" i="3"/>
  <c r="H14" i="3"/>
  <c r="H12" i="3"/>
  <c r="F12" i="3"/>
  <c r="E137" i="1"/>
  <c r="E135" i="1"/>
  <c r="E133" i="1"/>
  <c r="E131" i="1"/>
  <c r="E129" i="1"/>
  <c r="E124" i="1"/>
  <c r="E122" i="1"/>
  <c r="D122" i="1"/>
  <c r="C122" i="1"/>
  <c r="E120" i="1"/>
  <c r="E118" i="1"/>
  <c r="E117" i="1"/>
  <c r="E115" i="1"/>
  <c r="H107" i="1"/>
  <c r="H105" i="1"/>
  <c r="H103" i="1"/>
  <c r="E111" i="1"/>
  <c r="E109" i="1"/>
  <c r="E107" i="1"/>
  <c r="E105" i="1"/>
  <c r="E103" i="1"/>
  <c r="E94" i="1"/>
  <c r="D50" i="1"/>
  <c r="G85" i="1"/>
  <c r="F81" i="1" l="1"/>
  <c r="G79" i="1"/>
  <c r="F79" i="1"/>
  <c r="G74" i="1"/>
  <c r="G73" i="1"/>
  <c r="F74" i="1"/>
  <c r="F73" i="1"/>
  <c r="B71" i="1"/>
  <c r="G68" i="1"/>
  <c r="F68" i="1"/>
  <c r="G67" i="1"/>
  <c r="F67" i="1"/>
  <c r="G66" i="1"/>
  <c r="F66" i="1"/>
  <c r="F61" i="1"/>
  <c r="G59" i="1"/>
  <c r="F59" i="1"/>
  <c r="G58" i="1"/>
  <c r="F58" i="1"/>
  <c r="D31" i="2"/>
  <c r="D29" i="2"/>
  <c r="D24" i="2"/>
  <c r="D23" i="2"/>
  <c r="D21" i="2"/>
  <c r="D19" i="2"/>
  <c r="C17" i="2"/>
  <c r="C56" i="1"/>
  <c r="F54" i="1"/>
  <c r="G52" i="1"/>
  <c r="G51" i="1"/>
  <c r="F52" i="1"/>
  <c r="F51" i="1"/>
  <c r="F44" i="1"/>
  <c r="G44" i="1"/>
  <c r="F39" i="1"/>
  <c r="F34" i="1"/>
  <c r="F32" i="1"/>
  <c r="F30" i="1"/>
  <c r="F29" i="1"/>
  <c r="F28" i="1"/>
  <c r="F24" i="1"/>
  <c r="F22" i="1"/>
  <c r="C22" i="1"/>
  <c r="F21" i="1"/>
  <c r="C21" i="1"/>
  <c r="F20" i="1"/>
  <c r="C20" i="1"/>
  <c r="F7" i="1"/>
  <c r="F13" i="1" s="1"/>
  <c r="D7" i="1"/>
  <c r="F36" i="1" l="1"/>
  <c r="G46" i="1" s="1"/>
  <c r="G54" i="1" s="1"/>
  <c r="G61" i="1" s="1"/>
  <c r="G81" i="1" s="1"/>
  <c r="G42" i="1"/>
  <c r="G87" i="1" l="1"/>
  <c r="E92" i="1"/>
  <c r="E96" i="1" s="1"/>
  <c r="E98" i="1" s="1"/>
</calcChain>
</file>

<file path=xl/sharedStrings.xml><?xml version="1.0" encoding="utf-8"?>
<sst xmlns="http://schemas.openxmlformats.org/spreadsheetml/2006/main" count="182" uniqueCount="144">
  <si>
    <t>Winterdienst Autobahn</t>
  </si>
  <si>
    <t xml:space="preserve"> </t>
  </si>
  <si>
    <t xml:space="preserve">Einheit 1 Lkw und Jahr </t>
  </si>
  <si>
    <t xml:space="preserve">Marktleistung </t>
  </si>
  <si>
    <t xml:space="preserve">Hauptleistung </t>
  </si>
  <si>
    <t>€/h</t>
  </si>
  <si>
    <t>h/Jahr</t>
  </si>
  <si>
    <t>€</t>
  </si>
  <si>
    <t xml:space="preserve">Nebenleistung </t>
  </si>
  <si>
    <t>Streusalz</t>
  </si>
  <si>
    <t xml:space="preserve">Pauschale </t>
  </si>
  <si>
    <t>Marktleistung gesamt</t>
  </si>
  <si>
    <t xml:space="preserve">variable Kosten </t>
  </si>
  <si>
    <t xml:space="preserve">Betriebsstoffkosten </t>
  </si>
  <si>
    <t>Diesel</t>
  </si>
  <si>
    <t xml:space="preserve">Ad Blue </t>
  </si>
  <si>
    <t xml:space="preserve">Schmieröl </t>
  </si>
  <si>
    <t xml:space="preserve">l / Jahr </t>
  </si>
  <si>
    <t>€/l</t>
  </si>
  <si>
    <t>Pallmann Jaguar</t>
  </si>
  <si>
    <t>Schauer</t>
  </si>
  <si>
    <t xml:space="preserve">Landwirt </t>
  </si>
  <si>
    <t xml:space="preserve">Summe Betriebsstoffkosten </t>
  </si>
  <si>
    <t xml:space="preserve">Reparaturkosten </t>
  </si>
  <si>
    <t>LKW</t>
  </si>
  <si>
    <t xml:space="preserve">h/Jahr </t>
  </si>
  <si>
    <t xml:space="preserve">Streuer </t>
  </si>
  <si>
    <t xml:space="preserve">Schild </t>
  </si>
  <si>
    <t xml:space="preserve">Summe Reparaturkosten </t>
  </si>
  <si>
    <t xml:space="preserve">Summe variable Kosten </t>
  </si>
  <si>
    <t xml:space="preserve">Deckungsbeitrag = Marktleistung - variable Kosten </t>
  </si>
  <si>
    <t xml:space="preserve">Bedarf an Umlaufvermögen </t>
  </si>
  <si>
    <t xml:space="preserve">50% der variablen Kosten </t>
  </si>
  <si>
    <t xml:space="preserve">Unternehmergewinn </t>
  </si>
  <si>
    <t xml:space="preserve">Vollkosten </t>
  </si>
  <si>
    <t xml:space="preserve">Deckungsbeitrag </t>
  </si>
  <si>
    <t xml:space="preserve">Kosten für Umlaufvermögen </t>
  </si>
  <si>
    <t xml:space="preserve">Fremd </t>
  </si>
  <si>
    <t xml:space="preserve">Eigen </t>
  </si>
  <si>
    <t xml:space="preserve"> - variable Kosten </t>
  </si>
  <si>
    <t xml:space="preserve">vk I bzw. DB I </t>
  </si>
  <si>
    <t xml:space="preserve">Arbeit </t>
  </si>
  <si>
    <t>Eigen</t>
  </si>
  <si>
    <t xml:space="preserve">Lohnkosten pro Stunde </t>
  </si>
  <si>
    <t xml:space="preserve">Jahresgehalt </t>
  </si>
  <si>
    <t xml:space="preserve">Krankenversicherung </t>
  </si>
  <si>
    <t xml:space="preserve">Rentenversicherung </t>
  </si>
  <si>
    <t xml:space="preserve">Arbeitstlosen, Pflege </t>
  </si>
  <si>
    <t xml:space="preserve">versch. </t>
  </si>
  <si>
    <t xml:space="preserve">Kosten für den Arbeitgeber </t>
  </si>
  <si>
    <t xml:space="preserve">jährliche Arbeitszeit </t>
  </si>
  <si>
    <t xml:space="preserve"> - Urlaub </t>
  </si>
  <si>
    <t xml:space="preserve"> - Krank</t>
  </si>
  <si>
    <t xml:space="preserve"> - Fortbildung </t>
  </si>
  <si>
    <t xml:space="preserve"> - nicht produktiv einsatzbar</t>
  </si>
  <si>
    <t xml:space="preserve"> vk II bzw. DB II</t>
  </si>
  <si>
    <t xml:space="preserve"> Fest - und Gemeinkosten </t>
  </si>
  <si>
    <t xml:space="preserve">Abschreibung </t>
  </si>
  <si>
    <t>Lkw 1/2</t>
  </si>
  <si>
    <t>Streuer</t>
  </si>
  <si>
    <t xml:space="preserve">Zinsanspruch Anlagevermögen </t>
  </si>
  <si>
    <t>Versicherung, sonstiges</t>
  </si>
  <si>
    <t>allgemeine Arbeit</t>
  </si>
  <si>
    <t xml:space="preserve">Gesamtkosten/Unternehmergewinn </t>
  </si>
  <si>
    <t xml:space="preserve">Gewinn </t>
  </si>
  <si>
    <t xml:space="preserve">(ohne die Kosten der eigenen Faktoren) </t>
  </si>
  <si>
    <t xml:space="preserve">eigene Faktoren </t>
  </si>
  <si>
    <t>Gewinn</t>
  </si>
  <si>
    <t xml:space="preserve">Arbeit eigen, Kapital eigen </t>
  </si>
  <si>
    <t xml:space="preserve">Rentabilitätsschwelle (langfristig) </t>
  </si>
  <si>
    <t>Unternehmergewinn</t>
  </si>
  <si>
    <t xml:space="preserve"> / Einsatzstunden </t>
  </si>
  <si>
    <t xml:space="preserve">Unternehmergewinn je h </t>
  </si>
  <si>
    <t xml:space="preserve">€/Jahr </t>
  </si>
  <si>
    <t xml:space="preserve">Rentabilitätsschwelle </t>
  </si>
  <si>
    <t xml:space="preserve"> 120-27,16</t>
  </si>
  <si>
    <t xml:space="preserve">Faktorengelt Arbeit (eigen) </t>
  </si>
  <si>
    <t xml:space="preserve"> + Kosten Arbeit </t>
  </si>
  <si>
    <t xml:space="preserve">Faktorentgelt Arbeit (eigen) </t>
  </si>
  <si>
    <t xml:space="preserve"> / eingesetzte Menge </t>
  </si>
  <si>
    <t xml:space="preserve">Faktorentgelt je Einheit </t>
  </si>
  <si>
    <t xml:space="preserve">€/h </t>
  </si>
  <si>
    <t xml:space="preserve">Faktorentgelt eigene Arbeit </t>
  </si>
  <si>
    <t>Faktorentgelt Kapital (fremd) max Zinssatz</t>
  </si>
  <si>
    <t xml:space="preserve"> + Kosten Fremdkapital </t>
  </si>
  <si>
    <t>UV</t>
  </si>
  <si>
    <t>AV</t>
  </si>
  <si>
    <t xml:space="preserve">Faktorentgelt Kapital (fremd) </t>
  </si>
  <si>
    <t xml:space="preserve"> /Menge an Kapital </t>
  </si>
  <si>
    <t xml:space="preserve">Fakorentgelt je Einheit, max Zinskosten </t>
  </si>
  <si>
    <t xml:space="preserve">max. Kosten je l Diesel </t>
  </si>
  <si>
    <t xml:space="preserve"> + Kosten Diesel </t>
  </si>
  <si>
    <t xml:space="preserve">max Kosten Diesel </t>
  </si>
  <si>
    <t xml:space="preserve"> / Menge Diesel </t>
  </si>
  <si>
    <t xml:space="preserve">max Kosten je l Diesel </t>
  </si>
  <si>
    <t xml:space="preserve">Faktorentgelt je l Diesel </t>
  </si>
  <si>
    <t xml:space="preserve">Pflanzenschutz Horsch SF 36 m, 5000 l, 250 PS </t>
  </si>
  <si>
    <t xml:space="preserve">Pflanzenschutz komplett </t>
  </si>
  <si>
    <t>€/ha</t>
  </si>
  <si>
    <t xml:space="preserve">ha / Jahr </t>
  </si>
  <si>
    <t>Nebenleistung</t>
  </si>
  <si>
    <t xml:space="preserve">Mittel </t>
  </si>
  <si>
    <t xml:space="preserve">Diesel </t>
  </si>
  <si>
    <t>l/h</t>
  </si>
  <si>
    <t>Selbstfahrer komplett</t>
  </si>
  <si>
    <t xml:space="preserve">durchlaufende Posten </t>
  </si>
  <si>
    <t xml:space="preserve">Pflanzenschutzmittel </t>
  </si>
  <si>
    <t>Adblue, Schmierstoffe</t>
  </si>
  <si>
    <t xml:space="preserve">Bedarf um Umlaufvermögen </t>
  </si>
  <si>
    <t xml:space="preserve">25% der variablen Kosten </t>
  </si>
  <si>
    <t xml:space="preserve">U-Gewinn </t>
  </si>
  <si>
    <t xml:space="preserve"> variable Kosten </t>
  </si>
  <si>
    <t xml:space="preserve"> variable Kosten / DB</t>
  </si>
  <si>
    <t xml:space="preserve"> Kosten für UV </t>
  </si>
  <si>
    <t xml:space="preserve"> variable Kosten I / DB I </t>
  </si>
  <si>
    <t xml:space="preserve">Arbeit (Produktion) </t>
  </si>
  <si>
    <t>Fremd</t>
  </si>
  <si>
    <t>variable Kosten II/ DB II</t>
  </si>
  <si>
    <t xml:space="preserve">Fest - und Gemeinkosten </t>
  </si>
  <si>
    <t xml:space="preserve">Jahre </t>
  </si>
  <si>
    <t>Zinsanspruch AV</t>
  </si>
  <si>
    <t xml:space="preserve">allgemeine Arbeit </t>
  </si>
  <si>
    <t xml:space="preserve">Unterbringung </t>
  </si>
  <si>
    <t xml:space="preserve">der Anschaffungskosten </t>
  </si>
  <si>
    <t xml:space="preserve">Security ( mit Verpflegung ) </t>
  </si>
  <si>
    <t>sonstiges (z.B. Versicherung, Feuer, Buchhaltung, Tablets, Software, Handy,…)</t>
  </si>
  <si>
    <t>Vollkosten / Unternehmergewinn</t>
  </si>
  <si>
    <t xml:space="preserve">langfristig rentabel </t>
  </si>
  <si>
    <t xml:space="preserve">Rentabilitätsschwelle je ha </t>
  </si>
  <si>
    <t>Unternehmergwinn</t>
  </si>
  <si>
    <t xml:space="preserve"> / Anzahl ha </t>
  </si>
  <si>
    <t xml:space="preserve">Unternehmergewinn je ha </t>
  </si>
  <si>
    <t>Rentabilitätsschwelle</t>
  </si>
  <si>
    <t xml:space="preserve">€/ha </t>
  </si>
  <si>
    <t xml:space="preserve">langfristige Preisuntergrenze </t>
  </si>
  <si>
    <t xml:space="preserve"> 63447/6000</t>
  </si>
  <si>
    <t xml:space="preserve"> 25-10,57</t>
  </si>
  <si>
    <t xml:space="preserve">max Anschaffungskosten der Spritze </t>
  </si>
  <si>
    <t xml:space="preserve">jährlichen Kosten </t>
  </si>
  <si>
    <t xml:space="preserve">jährliche Kosten dürften um 63447 € höher sein, dann wäre der UG = 0 </t>
  </si>
  <si>
    <t xml:space="preserve">max jährlichen Kosten der Spritze </t>
  </si>
  <si>
    <t xml:space="preserve">max Anschaffungskosten </t>
  </si>
  <si>
    <t xml:space="preserve">Zinsanspruch AV </t>
  </si>
  <si>
    <t xml:space="preserve">jährlichen Kosten der Spritze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</si>
</sst>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0" xfId="0" applyFill="1"/>
    <xf numFmtId="9" fontId="0" fillId="0" borderId="0" xfId="0" applyNumberFormat="1"/>
    <xf numFmtId="2" fontId="0" fillId="0" borderId="0" xfId="0" applyNumberFormat="1"/>
    <xf numFmtId="10" fontId="0" fillId="0" borderId="0" xfId="0" applyNumberFormat="1"/>
    <xf numFmtId="1" fontId="0" fillId="0" borderId="0" xfId="0" applyNumberFormat="1"/>
    <xf numFmtId="169" fontId="0" fillId="0" borderId="0" xfId="1" applyNumberFormat="1" applyFont="1"/>
    <xf numFmtId="10" fontId="0" fillId="0" borderId="0" xfId="1" applyNumberFormat="1" applyFont="1"/>
    <xf numFmtId="16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1152A-1B2D-4F3C-AF69-A20F18236807}">
  <dimension ref="A6:J105"/>
  <sheetViews>
    <sheetView tabSelected="1" topLeftCell="A87" zoomScale="145" zoomScaleNormal="145" workbookViewId="0">
      <selection activeCell="A108" sqref="A108"/>
    </sheetView>
  </sheetViews>
  <sheetFormatPr baseColWidth="10" defaultRowHeight="14.4" x14ac:dyDescent="0.3"/>
  <sheetData>
    <row r="6" spans="1:8" x14ac:dyDescent="0.3">
      <c r="A6" t="s">
        <v>96</v>
      </c>
    </row>
    <row r="8" spans="1:8" x14ac:dyDescent="0.3">
      <c r="A8" t="s">
        <v>35</v>
      </c>
    </row>
    <row r="10" spans="1:8" x14ac:dyDescent="0.3">
      <c r="A10" t="s">
        <v>3</v>
      </c>
    </row>
    <row r="11" spans="1:8" x14ac:dyDescent="0.3">
      <c r="E11" t="s">
        <v>98</v>
      </c>
      <c r="F11" t="s">
        <v>99</v>
      </c>
      <c r="H11" t="s">
        <v>7</v>
      </c>
    </row>
    <row r="12" spans="1:8" x14ac:dyDescent="0.3">
      <c r="A12" t="s">
        <v>4</v>
      </c>
      <c r="C12" t="s">
        <v>97</v>
      </c>
      <c r="E12">
        <v>25</v>
      </c>
      <c r="F12">
        <f>40*150</f>
        <v>6000</v>
      </c>
      <c r="H12">
        <f>F12*E12</f>
        <v>150000</v>
      </c>
    </row>
    <row r="14" spans="1:8" x14ac:dyDescent="0.3">
      <c r="A14" t="s">
        <v>100</v>
      </c>
      <c r="C14" t="s">
        <v>101</v>
      </c>
      <c r="E14">
        <v>40</v>
      </c>
      <c r="F14">
        <v>1000</v>
      </c>
      <c r="H14">
        <f>F14*E14</f>
        <v>40000</v>
      </c>
    </row>
    <row r="16" spans="1:8" x14ac:dyDescent="0.3">
      <c r="A16" t="s">
        <v>11</v>
      </c>
      <c r="H16">
        <f>H14+H12</f>
        <v>190000</v>
      </c>
    </row>
    <row r="19" spans="1:8" x14ac:dyDescent="0.3">
      <c r="A19" t="s">
        <v>12</v>
      </c>
    </row>
    <row r="20" spans="1:8" x14ac:dyDescent="0.3">
      <c r="D20">
        <f>40*10</f>
        <v>400</v>
      </c>
      <c r="E20" t="s">
        <v>25</v>
      </c>
    </row>
    <row r="21" spans="1:8" x14ac:dyDescent="0.3">
      <c r="A21" t="s">
        <v>102</v>
      </c>
      <c r="D21">
        <v>20</v>
      </c>
      <c r="E21" t="s">
        <v>103</v>
      </c>
      <c r="F21">
        <f>D21*D20</f>
        <v>8000</v>
      </c>
      <c r="G21">
        <v>1.4</v>
      </c>
      <c r="H21">
        <f>G21*F21</f>
        <v>11200</v>
      </c>
    </row>
    <row r="22" spans="1:8" x14ac:dyDescent="0.3">
      <c r="A22" t="s">
        <v>107</v>
      </c>
      <c r="H22">
        <f>H21*0.05</f>
        <v>560</v>
      </c>
    </row>
    <row r="24" spans="1:8" x14ac:dyDescent="0.3">
      <c r="A24" t="s">
        <v>22</v>
      </c>
      <c r="H24">
        <f>H22+H21</f>
        <v>11760</v>
      </c>
    </row>
    <row r="26" spans="1:8" x14ac:dyDescent="0.3">
      <c r="A26" t="s">
        <v>23</v>
      </c>
    </row>
    <row r="27" spans="1:8" x14ac:dyDescent="0.3">
      <c r="D27" t="s">
        <v>98</v>
      </c>
    </row>
    <row r="28" spans="1:8" x14ac:dyDescent="0.3">
      <c r="A28" t="s">
        <v>104</v>
      </c>
      <c r="D28">
        <v>3</v>
      </c>
      <c r="F28">
        <v>6000</v>
      </c>
      <c r="H28">
        <f>F28*D28</f>
        <v>18000</v>
      </c>
    </row>
    <row r="30" spans="1:8" x14ac:dyDescent="0.3">
      <c r="A30" t="s">
        <v>105</v>
      </c>
    </row>
    <row r="32" spans="1:8" x14ac:dyDescent="0.3">
      <c r="A32" t="s">
        <v>106</v>
      </c>
      <c r="H32">
        <f>37500</f>
        <v>37500</v>
      </c>
    </row>
    <row r="35" spans="1:8" x14ac:dyDescent="0.3">
      <c r="A35" t="s">
        <v>29</v>
      </c>
      <c r="H35">
        <f>SUM(H24:H32)</f>
        <v>67260</v>
      </c>
    </row>
    <row r="38" spans="1:8" x14ac:dyDescent="0.3">
      <c r="A38" t="s">
        <v>35</v>
      </c>
      <c r="H38">
        <f>H16-H35</f>
        <v>122740</v>
      </c>
    </row>
    <row r="40" spans="1:8" x14ac:dyDescent="0.3">
      <c r="A40" t="s">
        <v>108</v>
      </c>
      <c r="D40" t="s">
        <v>109</v>
      </c>
      <c r="G40">
        <f>H35*0.25</f>
        <v>16815</v>
      </c>
    </row>
    <row r="43" spans="1:8" x14ac:dyDescent="0.3">
      <c r="G43" t="s">
        <v>34</v>
      </c>
      <c r="H43" t="s">
        <v>110</v>
      </c>
    </row>
    <row r="45" spans="1:8" x14ac:dyDescent="0.3">
      <c r="A45" t="s">
        <v>3</v>
      </c>
      <c r="H45">
        <f>H16</f>
        <v>190000</v>
      </c>
    </row>
    <row r="46" spans="1:8" x14ac:dyDescent="0.3">
      <c r="D46" s="8"/>
    </row>
    <row r="47" spans="1:8" x14ac:dyDescent="0.3">
      <c r="A47" t="s">
        <v>111</v>
      </c>
      <c r="G47">
        <f>H35</f>
        <v>67260</v>
      </c>
      <c r="H47">
        <f>G47</f>
        <v>67260</v>
      </c>
    </row>
    <row r="49" spans="1:8" x14ac:dyDescent="0.3">
      <c r="A49" t="s">
        <v>112</v>
      </c>
      <c r="G49">
        <f>G47</f>
        <v>67260</v>
      </c>
      <c r="H49">
        <f>H45-H47</f>
        <v>122740</v>
      </c>
    </row>
    <row r="51" spans="1:8" x14ac:dyDescent="0.3">
      <c r="A51" t="s">
        <v>113</v>
      </c>
      <c r="D51">
        <f>G40</f>
        <v>16815</v>
      </c>
    </row>
    <row r="53" spans="1:8" x14ac:dyDescent="0.3">
      <c r="A53" t="s">
        <v>38</v>
      </c>
      <c r="B53" s="2">
        <v>1</v>
      </c>
      <c r="C53" s="2">
        <v>0.01</v>
      </c>
      <c r="G53">
        <f>D51*C53*B53</f>
        <v>168.15</v>
      </c>
      <c r="H53">
        <f>G53</f>
        <v>168.15</v>
      </c>
    </row>
    <row r="55" spans="1:8" x14ac:dyDescent="0.3">
      <c r="A55" t="s">
        <v>114</v>
      </c>
      <c r="G55" s="5">
        <f>G49+G53</f>
        <v>67428.149999999994</v>
      </c>
      <c r="H55" s="5">
        <f>H49-H53</f>
        <v>122571.85</v>
      </c>
    </row>
    <row r="57" spans="1:8" x14ac:dyDescent="0.3">
      <c r="A57" t="s">
        <v>115</v>
      </c>
      <c r="D57">
        <v>500</v>
      </c>
    </row>
    <row r="59" spans="1:8" x14ac:dyDescent="0.3">
      <c r="A59" t="s">
        <v>116</v>
      </c>
      <c r="B59" s="2">
        <v>1</v>
      </c>
      <c r="C59">
        <v>40</v>
      </c>
      <c r="G59">
        <f>C59*D57</f>
        <v>20000</v>
      </c>
      <c r="H59">
        <f>G59</f>
        <v>20000</v>
      </c>
    </row>
    <row r="61" spans="1:8" x14ac:dyDescent="0.3">
      <c r="A61" t="s">
        <v>117</v>
      </c>
      <c r="G61" s="5">
        <f>G55+G59</f>
        <v>87428.15</v>
      </c>
      <c r="H61" s="5">
        <f>H55-H59</f>
        <v>102571.85</v>
      </c>
    </row>
    <row r="63" spans="1:8" x14ac:dyDescent="0.3">
      <c r="A63" t="s">
        <v>118</v>
      </c>
    </row>
    <row r="65" spans="1:10" x14ac:dyDescent="0.3">
      <c r="A65" t="s">
        <v>57</v>
      </c>
      <c r="C65">
        <v>300000</v>
      </c>
      <c r="D65">
        <v>50000</v>
      </c>
      <c r="G65">
        <f>(C65-D65)/C66</f>
        <v>25000</v>
      </c>
      <c r="H65">
        <f>G65</f>
        <v>25000</v>
      </c>
    </row>
    <row r="66" spans="1:10" x14ac:dyDescent="0.3">
      <c r="C66">
        <v>10</v>
      </c>
      <c r="D66" t="s">
        <v>119</v>
      </c>
    </row>
    <row r="68" spans="1:10" x14ac:dyDescent="0.3">
      <c r="A68" t="s">
        <v>120</v>
      </c>
      <c r="C68">
        <f>(C65+D65)/2</f>
        <v>175000</v>
      </c>
    </row>
    <row r="70" spans="1:10" x14ac:dyDescent="0.3">
      <c r="A70" t="s">
        <v>116</v>
      </c>
      <c r="B70" s="2">
        <v>1</v>
      </c>
      <c r="C70" s="4">
        <v>1.4999999999999999E-2</v>
      </c>
      <c r="G70">
        <f>C70*C68</f>
        <v>2625</v>
      </c>
      <c r="H70">
        <f>G70</f>
        <v>2625</v>
      </c>
    </row>
    <row r="72" spans="1:10" x14ac:dyDescent="0.3">
      <c r="A72" t="s">
        <v>121</v>
      </c>
      <c r="C72">
        <v>40</v>
      </c>
      <c r="D72">
        <v>100</v>
      </c>
      <c r="G72">
        <f>D72*C72</f>
        <v>4000</v>
      </c>
      <c r="H72">
        <f>G72</f>
        <v>4000</v>
      </c>
    </row>
    <row r="74" spans="1:10" x14ac:dyDescent="0.3">
      <c r="A74" t="s">
        <v>122</v>
      </c>
      <c r="C74" s="4">
        <v>1.4999999999999999E-2</v>
      </c>
      <c r="D74" t="s">
        <v>123</v>
      </c>
      <c r="G74">
        <f>1.5%*C65</f>
        <v>4500</v>
      </c>
      <c r="H74">
        <f>G74</f>
        <v>4500</v>
      </c>
    </row>
    <row r="76" spans="1:10" x14ac:dyDescent="0.3">
      <c r="A76" t="s">
        <v>124</v>
      </c>
    </row>
    <row r="78" spans="1:10" x14ac:dyDescent="0.3">
      <c r="A78" t="s">
        <v>125</v>
      </c>
      <c r="G78">
        <v>3000</v>
      </c>
      <c r="H78">
        <v>3000</v>
      </c>
    </row>
    <row r="80" spans="1:10" x14ac:dyDescent="0.3">
      <c r="A80" t="s">
        <v>126</v>
      </c>
      <c r="G80" s="5">
        <f>G61+SUM( G65:G78)</f>
        <v>126553.15</v>
      </c>
      <c r="H80" s="5">
        <f>H61-SUM(H65:H78)</f>
        <v>63446.850000000006</v>
      </c>
      <c r="J80" t="s">
        <v>127</v>
      </c>
    </row>
    <row r="82" spans="1:10" x14ac:dyDescent="0.3">
      <c r="A82" t="s">
        <v>128</v>
      </c>
    </row>
    <row r="84" spans="1:10" x14ac:dyDescent="0.3">
      <c r="A84" t="s">
        <v>129</v>
      </c>
      <c r="H84" s="5">
        <f>H80</f>
        <v>63446.850000000006</v>
      </c>
    </row>
    <row r="86" spans="1:10" x14ac:dyDescent="0.3">
      <c r="A86" t="s">
        <v>130</v>
      </c>
      <c r="H86">
        <f>F12</f>
        <v>6000</v>
      </c>
    </row>
    <row r="88" spans="1:10" x14ac:dyDescent="0.3">
      <c r="A88" t="s">
        <v>131</v>
      </c>
      <c r="H88" s="3">
        <f>H84/H86</f>
        <v>10.574475000000001</v>
      </c>
      <c r="I88" t="s">
        <v>135</v>
      </c>
    </row>
    <row r="90" spans="1:10" x14ac:dyDescent="0.3">
      <c r="A90" t="s">
        <v>132</v>
      </c>
      <c r="F90" t="s">
        <v>136</v>
      </c>
      <c r="H90" s="3">
        <f>E12-H88</f>
        <v>14.425524999999999</v>
      </c>
      <c r="I90" t="s">
        <v>133</v>
      </c>
      <c r="J90" t="s">
        <v>134</v>
      </c>
    </row>
    <row r="92" spans="1:10" x14ac:dyDescent="0.3">
      <c r="F92" t="s">
        <v>138</v>
      </c>
    </row>
    <row r="93" spans="1:10" x14ac:dyDescent="0.3">
      <c r="A93" t="s">
        <v>137</v>
      </c>
      <c r="D93">
        <v>300000</v>
      </c>
      <c r="F93">
        <f>H65</f>
        <v>25000</v>
      </c>
      <c r="G93" t="s">
        <v>57</v>
      </c>
    </row>
    <row r="94" spans="1:10" x14ac:dyDescent="0.3">
      <c r="F94">
        <f>H70</f>
        <v>2625</v>
      </c>
      <c r="G94" t="s">
        <v>142</v>
      </c>
    </row>
    <row r="95" spans="1:10" x14ac:dyDescent="0.3">
      <c r="F95">
        <f>H74</f>
        <v>4500</v>
      </c>
      <c r="G95" t="s">
        <v>122</v>
      </c>
    </row>
    <row r="97" spans="1:7" x14ac:dyDescent="0.3">
      <c r="D97" s="7">
        <f>F97/D93</f>
        <v>0.10708333333333334</v>
      </c>
      <c r="F97">
        <f>SUM(F93:F95)</f>
        <v>32125</v>
      </c>
      <c r="G97" t="s">
        <v>143</v>
      </c>
    </row>
    <row r="101" spans="1:7" x14ac:dyDescent="0.3">
      <c r="A101" t="s">
        <v>139</v>
      </c>
    </row>
    <row r="103" spans="1:7" x14ac:dyDescent="0.3">
      <c r="A103" t="s">
        <v>140</v>
      </c>
      <c r="F103" s="5">
        <f>F97+H84</f>
        <v>95571.85</v>
      </c>
    </row>
    <row r="105" spans="1:7" x14ac:dyDescent="0.3">
      <c r="A105" t="s">
        <v>141</v>
      </c>
      <c r="F105" s="3">
        <f>F103/D97</f>
        <v>892499.76653696503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2340E-EC8B-4B75-B76E-B8F32DE3D268}">
  <dimension ref="A1:K137"/>
  <sheetViews>
    <sheetView topLeftCell="A117" zoomScale="145" zoomScaleNormal="145" workbookViewId="0">
      <selection activeCell="G138" sqref="G138"/>
    </sheetView>
  </sheetViews>
  <sheetFormatPr baseColWidth="10" defaultRowHeight="14.4" x14ac:dyDescent="0.3"/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A3" t="s">
        <v>2</v>
      </c>
    </row>
    <row r="5" spans="1:6" x14ac:dyDescent="0.3">
      <c r="A5" t="s">
        <v>3</v>
      </c>
    </row>
    <row r="6" spans="1:6" x14ac:dyDescent="0.3">
      <c r="C6" t="s">
        <v>5</v>
      </c>
      <c r="D6" t="s">
        <v>6</v>
      </c>
      <c r="F6" t="s">
        <v>7</v>
      </c>
    </row>
    <row r="7" spans="1:6" x14ac:dyDescent="0.3">
      <c r="A7" t="s">
        <v>4</v>
      </c>
      <c r="C7">
        <v>120</v>
      </c>
      <c r="D7">
        <f>4*100</f>
        <v>400</v>
      </c>
      <c r="F7">
        <f>D7*C7</f>
        <v>48000</v>
      </c>
    </row>
    <row r="9" spans="1:6" x14ac:dyDescent="0.3">
      <c r="A9" t="s">
        <v>8</v>
      </c>
      <c r="C9" t="s">
        <v>9</v>
      </c>
    </row>
    <row r="11" spans="1:6" x14ac:dyDescent="0.3">
      <c r="A11" t="s">
        <v>10</v>
      </c>
      <c r="F11">
        <v>15000</v>
      </c>
    </row>
    <row r="13" spans="1:6" x14ac:dyDescent="0.3">
      <c r="A13" t="s">
        <v>11</v>
      </c>
      <c r="F13">
        <f>F11+F7</f>
        <v>63000</v>
      </c>
    </row>
    <row r="16" spans="1:6" x14ac:dyDescent="0.3">
      <c r="A16" t="s">
        <v>12</v>
      </c>
    </row>
    <row r="18" spans="1:6" x14ac:dyDescent="0.3">
      <c r="A18" t="s">
        <v>13</v>
      </c>
    </row>
    <row r="19" spans="1:6" x14ac:dyDescent="0.3">
      <c r="C19" t="s">
        <v>17</v>
      </c>
      <c r="D19" t="s">
        <v>18</v>
      </c>
      <c r="F19" t="s">
        <v>7</v>
      </c>
    </row>
    <row r="20" spans="1:6" x14ac:dyDescent="0.3">
      <c r="A20" t="s">
        <v>14</v>
      </c>
      <c r="C20">
        <f>400*35*60/100</f>
        <v>8400</v>
      </c>
      <c r="D20">
        <v>1.4</v>
      </c>
      <c r="F20">
        <f>D20*C20</f>
        <v>11760</v>
      </c>
    </row>
    <row r="21" spans="1:6" x14ac:dyDescent="0.3">
      <c r="A21" t="s">
        <v>15</v>
      </c>
      <c r="C21">
        <f>0.05*C20</f>
        <v>420</v>
      </c>
      <c r="D21">
        <v>0.7</v>
      </c>
      <c r="F21">
        <f>D21*C21</f>
        <v>294</v>
      </c>
    </row>
    <row r="22" spans="1:6" x14ac:dyDescent="0.3">
      <c r="A22" t="s">
        <v>16</v>
      </c>
      <c r="C22">
        <f>0.02*C20</f>
        <v>168</v>
      </c>
      <c r="D22">
        <v>3.5</v>
      </c>
      <c r="F22">
        <f>D22*C22</f>
        <v>588</v>
      </c>
    </row>
    <row r="24" spans="1:6" x14ac:dyDescent="0.3">
      <c r="A24" t="s">
        <v>22</v>
      </c>
      <c r="F24">
        <f>SUM(F20:F22)</f>
        <v>12642</v>
      </c>
    </row>
    <row r="26" spans="1:6" x14ac:dyDescent="0.3">
      <c r="A26" t="s">
        <v>23</v>
      </c>
    </row>
    <row r="27" spans="1:6" x14ac:dyDescent="0.3">
      <c r="C27" t="s">
        <v>5</v>
      </c>
      <c r="D27" t="s">
        <v>25</v>
      </c>
    </row>
    <row r="28" spans="1:6" x14ac:dyDescent="0.3">
      <c r="A28" t="s">
        <v>24</v>
      </c>
      <c r="C28">
        <v>17</v>
      </c>
      <c r="D28">
        <v>400</v>
      </c>
      <c r="F28">
        <f>D28*C28</f>
        <v>6800</v>
      </c>
    </row>
    <row r="29" spans="1:6" x14ac:dyDescent="0.3">
      <c r="A29" t="s">
        <v>26</v>
      </c>
      <c r="C29">
        <v>3</v>
      </c>
      <c r="D29">
        <v>400</v>
      </c>
      <c r="F29">
        <f>D29*C29</f>
        <v>1200</v>
      </c>
    </row>
    <row r="30" spans="1:6" x14ac:dyDescent="0.3">
      <c r="A30" t="s">
        <v>27</v>
      </c>
      <c r="C30">
        <v>10</v>
      </c>
      <c r="D30">
        <v>100</v>
      </c>
      <c r="F30">
        <f>D30*C30</f>
        <v>1000</v>
      </c>
    </row>
    <row r="32" spans="1:6" x14ac:dyDescent="0.3">
      <c r="A32" t="s">
        <v>28</v>
      </c>
      <c r="F32">
        <f>SUM(F28:F30)</f>
        <v>9000</v>
      </c>
    </row>
    <row r="34" spans="1:7" x14ac:dyDescent="0.3">
      <c r="A34" t="s">
        <v>29</v>
      </c>
      <c r="F34">
        <f>F32+F24</f>
        <v>21642</v>
      </c>
    </row>
    <row r="36" spans="1:7" s="1" customFormat="1" x14ac:dyDescent="0.3">
      <c r="A36" s="1" t="s">
        <v>30</v>
      </c>
      <c r="F36" s="1">
        <f>F13-F34</f>
        <v>41358</v>
      </c>
    </row>
    <row r="38" spans="1:7" x14ac:dyDescent="0.3">
      <c r="A38" t="s">
        <v>31</v>
      </c>
    </row>
    <row r="39" spans="1:7" x14ac:dyDescent="0.3">
      <c r="A39" t="s">
        <v>32</v>
      </c>
      <c r="F39">
        <f>F34*0.5</f>
        <v>10821</v>
      </c>
    </row>
    <row r="41" spans="1:7" x14ac:dyDescent="0.3">
      <c r="F41" t="s">
        <v>34</v>
      </c>
      <c r="G41" t="s">
        <v>33</v>
      </c>
    </row>
    <row r="42" spans="1:7" x14ac:dyDescent="0.3">
      <c r="A42" t="s">
        <v>3</v>
      </c>
      <c r="G42">
        <f>F13</f>
        <v>63000</v>
      </c>
    </row>
    <row r="44" spans="1:7" x14ac:dyDescent="0.3">
      <c r="A44" t="s">
        <v>39</v>
      </c>
      <c r="F44">
        <f>G44</f>
        <v>21642</v>
      </c>
      <c r="G44">
        <f>F34</f>
        <v>21642</v>
      </c>
    </row>
    <row r="46" spans="1:7" x14ac:dyDescent="0.3">
      <c r="A46" t="s">
        <v>35</v>
      </c>
      <c r="G46">
        <f>F36</f>
        <v>41358</v>
      </c>
    </row>
    <row r="48" spans="1:7" x14ac:dyDescent="0.3">
      <c r="A48" t="s">
        <v>1</v>
      </c>
    </row>
    <row r="50" spans="1:7" x14ac:dyDescent="0.3">
      <c r="A50" t="s">
        <v>36</v>
      </c>
      <c r="D50">
        <f>F44*0.5</f>
        <v>10821</v>
      </c>
    </row>
    <row r="51" spans="1:7" x14ac:dyDescent="0.3">
      <c r="A51" t="s">
        <v>37</v>
      </c>
      <c r="B51" s="2">
        <v>0.03</v>
      </c>
      <c r="C51" s="2">
        <v>0.2</v>
      </c>
      <c r="F51" s="3">
        <f>D50*C51*B51</f>
        <v>64.926000000000002</v>
      </c>
      <c r="G51" s="3">
        <f>F51</f>
        <v>64.926000000000002</v>
      </c>
    </row>
    <row r="52" spans="1:7" x14ac:dyDescent="0.3">
      <c r="A52" t="s">
        <v>38</v>
      </c>
      <c r="B52" s="2">
        <v>0.01</v>
      </c>
      <c r="C52" s="2">
        <v>0.8</v>
      </c>
      <c r="F52" s="3">
        <f>D50*C52*B52</f>
        <v>86.568000000000012</v>
      </c>
      <c r="G52" s="3">
        <f>F52</f>
        <v>86.568000000000012</v>
      </c>
    </row>
    <row r="54" spans="1:7" x14ac:dyDescent="0.3">
      <c r="A54" t="s">
        <v>40</v>
      </c>
      <c r="F54" s="3">
        <f>F44+F51+F52</f>
        <v>21793.493999999999</v>
      </c>
      <c r="G54" s="3">
        <f>G46-G51-G52</f>
        <v>41206.506000000001</v>
      </c>
    </row>
    <row r="56" spans="1:7" x14ac:dyDescent="0.3">
      <c r="A56" t="s">
        <v>41</v>
      </c>
      <c r="C56">
        <f>400*1.25</f>
        <v>500</v>
      </c>
    </row>
    <row r="57" spans="1:7" x14ac:dyDescent="0.3">
      <c r="B57" t="s">
        <v>5</v>
      </c>
    </row>
    <row r="58" spans="1:7" x14ac:dyDescent="0.3">
      <c r="A58" t="s">
        <v>37</v>
      </c>
      <c r="B58">
        <v>30</v>
      </c>
      <c r="C58" s="2">
        <v>0.5</v>
      </c>
      <c r="F58">
        <f>C56*C58*B58</f>
        <v>7500</v>
      </c>
      <c r="G58">
        <f>F58</f>
        <v>7500</v>
      </c>
    </row>
    <row r="59" spans="1:7" x14ac:dyDescent="0.3">
      <c r="A59" t="s">
        <v>42</v>
      </c>
      <c r="B59">
        <v>30</v>
      </c>
      <c r="C59" s="2">
        <v>0.5</v>
      </c>
      <c r="F59">
        <f>C56*C59*B59</f>
        <v>7500</v>
      </c>
      <c r="G59">
        <f>F59</f>
        <v>7500</v>
      </c>
    </row>
    <row r="61" spans="1:7" x14ac:dyDescent="0.3">
      <c r="A61" t="s">
        <v>55</v>
      </c>
      <c r="F61" s="3">
        <f>F54+F58+F59</f>
        <v>36793.493999999999</v>
      </c>
      <c r="G61" s="3">
        <f>G54-G58-G59</f>
        <v>26206.506000000001</v>
      </c>
    </row>
    <row r="63" spans="1:7" x14ac:dyDescent="0.3">
      <c r="A63" t="s">
        <v>56</v>
      </c>
    </row>
    <row r="65" spans="1:7" x14ac:dyDescent="0.3">
      <c r="A65" t="s">
        <v>57</v>
      </c>
    </row>
    <row r="66" spans="1:7" x14ac:dyDescent="0.3">
      <c r="A66" t="s">
        <v>58</v>
      </c>
      <c r="B66">
        <v>70000</v>
      </c>
      <c r="C66">
        <v>20000</v>
      </c>
      <c r="D66">
        <v>10</v>
      </c>
      <c r="F66">
        <f>(B66-C66)/D66</f>
        <v>5000</v>
      </c>
      <c r="G66">
        <f>F66</f>
        <v>5000</v>
      </c>
    </row>
    <row r="67" spans="1:7" x14ac:dyDescent="0.3">
      <c r="A67" t="s">
        <v>59</v>
      </c>
      <c r="B67">
        <v>40000</v>
      </c>
      <c r="C67">
        <v>3000</v>
      </c>
      <c r="D67">
        <v>10</v>
      </c>
      <c r="F67">
        <f>(B67-C67)/D67</f>
        <v>3700</v>
      </c>
      <c r="G67">
        <f>F67</f>
        <v>3700</v>
      </c>
    </row>
    <row r="68" spans="1:7" x14ac:dyDescent="0.3">
      <c r="A68" t="s">
        <v>27</v>
      </c>
      <c r="B68">
        <v>15000</v>
      </c>
      <c r="C68">
        <v>3000</v>
      </c>
      <c r="D68">
        <v>10</v>
      </c>
      <c r="F68">
        <f>(B68-C68)/D68</f>
        <v>1200</v>
      </c>
      <c r="G68">
        <f>F68</f>
        <v>1200</v>
      </c>
    </row>
    <row r="70" spans="1:7" x14ac:dyDescent="0.3">
      <c r="A70" t="s">
        <v>60</v>
      </c>
    </row>
    <row r="71" spans="1:7" x14ac:dyDescent="0.3">
      <c r="B71">
        <f>SUM(B66:C68)/2</f>
        <v>75500</v>
      </c>
    </row>
    <row r="73" spans="1:7" x14ac:dyDescent="0.3">
      <c r="A73" t="s">
        <v>37</v>
      </c>
      <c r="B73" s="4">
        <v>1.4999999999999999E-2</v>
      </c>
      <c r="C73" s="2">
        <v>0.5</v>
      </c>
      <c r="F73">
        <f>C73*B73*$B$71</f>
        <v>566.25</v>
      </c>
      <c r="G73">
        <f>F73</f>
        <v>566.25</v>
      </c>
    </row>
    <row r="74" spans="1:7" x14ac:dyDescent="0.3">
      <c r="A74" t="s">
        <v>38</v>
      </c>
      <c r="B74" s="2">
        <v>0.01</v>
      </c>
      <c r="C74" s="2">
        <v>0.5</v>
      </c>
      <c r="F74">
        <f>C74*B74*$B$71</f>
        <v>377.5</v>
      </c>
      <c r="G74">
        <f>F74</f>
        <v>377.5</v>
      </c>
    </row>
    <row r="76" spans="1:7" x14ac:dyDescent="0.3">
      <c r="A76" t="s">
        <v>61</v>
      </c>
      <c r="F76">
        <v>3000</v>
      </c>
      <c r="G76">
        <v>3000</v>
      </c>
    </row>
    <row r="78" spans="1:7" x14ac:dyDescent="0.3">
      <c r="A78" t="s">
        <v>62</v>
      </c>
      <c r="D78">
        <v>50</v>
      </c>
    </row>
    <row r="79" spans="1:7" x14ac:dyDescent="0.3">
      <c r="A79" t="s">
        <v>38</v>
      </c>
      <c r="B79">
        <v>30</v>
      </c>
      <c r="C79" s="2">
        <v>1</v>
      </c>
      <c r="F79">
        <f>D78*B79</f>
        <v>1500</v>
      </c>
      <c r="G79">
        <f>F79</f>
        <v>1500</v>
      </c>
    </row>
    <row r="81" spans="1:11" x14ac:dyDescent="0.3">
      <c r="A81" t="s">
        <v>63</v>
      </c>
      <c r="F81" s="3">
        <f>SUM(F61:F79)</f>
        <v>52137.243999999999</v>
      </c>
      <c r="G81" s="3">
        <f>G61-SUM(G66:G79)</f>
        <v>10862.756000000001</v>
      </c>
      <c r="K81" s="2"/>
    </row>
    <row r="83" spans="1:11" x14ac:dyDescent="0.3">
      <c r="A83" t="s">
        <v>64</v>
      </c>
      <c r="B83" t="s">
        <v>65</v>
      </c>
    </row>
    <row r="85" spans="1:11" x14ac:dyDescent="0.3">
      <c r="A85" t="s">
        <v>66</v>
      </c>
      <c r="G85" s="3">
        <f>G79+G59+G52+G74</f>
        <v>9464.0679999999993</v>
      </c>
      <c r="H85" t="s">
        <v>68</v>
      </c>
    </row>
    <row r="87" spans="1:11" x14ac:dyDescent="0.3">
      <c r="A87" t="s">
        <v>67</v>
      </c>
      <c r="G87" s="3">
        <f>G81+G85</f>
        <v>20326.824000000001</v>
      </c>
    </row>
    <row r="90" spans="1:11" x14ac:dyDescent="0.3">
      <c r="A90" t="s">
        <v>69</v>
      </c>
    </row>
    <row r="92" spans="1:11" x14ac:dyDescent="0.3">
      <c r="A92" t="s">
        <v>70</v>
      </c>
      <c r="E92" s="3">
        <f>G81</f>
        <v>10862.756000000001</v>
      </c>
      <c r="F92" t="s">
        <v>73</v>
      </c>
    </row>
    <row r="94" spans="1:11" x14ac:dyDescent="0.3">
      <c r="A94" t="s">
        <v>71</v>
      </c>
      <c r="E94">
        <f>D7</f>
        <v>400</v>
      </c>
      <c r="F94" t="s">
        <v>25</v>
      </c>
    </row>
    <row r="96" spans="1:11" x14ac:dyDescent="0.3">
      <c r="A96" t="s">
        <v>72</v>
      </c>
      <c r="E96" s="3">
        <f>E92/E94</f>
        <v>27.156890000000004</v>
      </c>
      <c r="F96" t="s">
        <v>5</v>
      </c>
    </row>
    <row r="98" spans="1:8" x14ac:dyDescent="0.3">
      <c r="A98" t="s">
        <v>74</v>
      </c>
      <c r="C98" t="s">
        <v>75</v>
      </c>
      <c r="E98" s="3">
        <f>120-E96</f>
        <v>92.843109999999996</v>
      </c>
      <c r="F98" t="s">
        <v>5</v>
      </c>
    </row>
    <row r="101" spans="1:8" x14ac:dyDescent="0.3">
      <c r="A101" t="s">
        <v>76</v>
      </c>
    </row>
    <row r="103" spans="1:8" x14ac:dyDescent="0.3">
      <c r="A103" t="s">
        <v>33</v>
      </c>
      <c r="E103" s="3">
        <f>E92</f>
        <v>10862.756000000001</v>
      </c>
      <c r="H103" s="3">
        <f>E103</f>
        <v>10862.756000000001</v>
      </c>
    </row>
    <row r="104" spans="1:8" x14ac:dyDescent="0.3">
      <c r="H104" s="3"/>
    </row>
    <row r="105" spans="1:8" x14ac:dyDescent="0.3">
      <c r="A105" t="s">
        <v>77</v>
      </c>
      <c r="E105">
        <f>G79+G59</f>
        <v>9000</v>
      </c>
      <c r="H105" s="3">
        <f>H103/300</f>
        <v>36.209186666666668</v>
      </c>
    </row>
    <row r="106" spans="1:8" x14ac:dyDescent="0.3">
      <c r="H106" s="3"/>
    </row>
    <row r="107" spans="1:8" x14ac:dyDescent="0.3">
      <c r="A107" t="s">
        <v>78</v>
      </c>
      <c r="E107" s="3">
        <f>E105+E103</f>
        <v>19862.756000000001</v>
      </c>
      <c r="H107" s="3">
        <f>30+H105</f>
        <v>66.209186666666668</v>
      </c>
    </row>
    <row r="109" spans="1:8" x14ac:dyDescent="0.3">
      <c r="A109" t="s">
        <v>79</v>
      </c>
      <c r="E109">
        <f>D78+250</f>
        <v>300</v>
      </c>
    </row>
    <row r="111" spans="1:8" x14ac:dyDescent="0.3">
      <c r="A111" t="s">
        <v>80</v>
      </c>
      <c r="E111" s="3">
        <f>E107/E109</f>
        <v>66.209186666666668</v>
      </c>
      <c r="F111" t="s">
        <v>81</v>
      </c>
      <c r="G111" t="s">
        <v>82</v>
      </c>
    </row>
    <row r="113" spans="1:8" x14ac:dyDescent="0.3">
      <c r="A113" t="s">
        <v>83</v>
      </c>
    </row>
    <row r="115" spans="1:8" x14ac:dyDescent="0.3">
      <c r="A115" t="s">
        <v>70</v>
      </c>
      <c r="E115" s="3">
        <f>E103</f>
        <v>10862.756000000001</v>
      </c>
      <c r="H115" s="3"/>
    </row>
    <row r="117" spans="1:8" x14ac:dyDescent="0.3">
      <c r="A117" t="s">
        <v>84</v>
      </c>
      <c r="C117" t="s">
        <v>85</v>
      </c>
      <c r="E117" s="3">
        <f>G51</f>
        <v>64.926000000000002</v>
      </c>
    </row>
    <row r="118" spans="1:8" x14ac:dyDescent="0.3">
      <c r="C118" t="s">
        <v>86</v>
      </c>
      <c r="E118">
        <f>F73</f>
        <v>566.25</v>
      </c>
    </row>
    <row r="119" spans="1:8" x14ac:dyDescent="0.3">
      <c r="H119" s="6"/>
    </row>
    <row r="120" spans="1:8" x14ac:dyDescent="0.3">
      <c r="A120" t="s">
        <v>87</v>
      </c>
      <c r="E120" s="3">
        <f>E115+E117+E118</f>
        <v>11493.932000000001</v>
      </c>
    </row>
    <row r="121" spans="1:8" x14ac:dyDescent="0.3">
      <c r="C121" t="s">
        <v>85</v>
      </c>
      <c r="D121" t="s">
        <v>86</v>
      </c>
    </row>
    <row r="122" spans="1:8" x14ac:dyDescent="0.3">
      <c r="A122" t="s">
        <v>88</v>
      </c>
      <c r="C122">
        <f>D50*C51</f>
        <v>2164.2000000000003</v>
      </c>
      <c r="D122">
        <f>B71*C73</f>
        <v>37750</v>
      </c>
      <c r="E122">
        <f>D122+C122</f>
        <v>39914.199999999997</v>
      </c>
    </row>
    <row r="124" spans="1:8" x14ac:dyDescent="0.3">
      <c r="A124" t="s">
        <v>89</v>
      </c>
      <c r="E124" s="7">
        <f>E120/E122</f>
        <v>0.28796598704220555</v>
      </c>
    </row>
    <row r="127" spans="1:8" x14ac:dyDescent="0.3">
      <c r="A127" t="s">
        <v>90</v>
      </c>
    </row>
    <row r="129" spans="1:7" x14ac:dyDescent="0.3">
      <c r="A129" t="s">
        <v>70</v>
      </c>
      <c r="E129" s="3">
        <f>E115</f>
        <v>10862.756000000001</v>
      </c>
    </row>
    <row r="131" spans="1:7" x14ac:dyDescent="0.3">
      <c r="A131" t="s">
        <v>91</v>
      </c>
      <c r="E131">
        <f>F20</f>
        <v>11760</v>
      </c>
    </row>
    <row r="133" spans="1:7" x14ac:dyDescent="0.3">
      <c r="A133" t="s">
        <v>92</v>
      </c>
      <c r="E133" s="3">
        <f>E131+E129</f>
        <v>22622.756000000001</v>
      </c>
    </row>
    <row r="135" spans="1:7" x14ac:dyDescent="0.3">
      <c r="A135" t="s">
        <v>93</v>
      </c>
      <c r="E135">
        <f>C20</f>
        <v>8400</v>
      </c>
    </row>
    <row r="137" spans="1:7" x14ac:dyDescent="0.3">
      <c r="A137" t="s">
        <v>94</v>
      </c>
      <c r="E137" s="3">
        <f>E133/E135</f>
        <v>2.6931852380952384</v>
      </c>
      <c r="F137" t="s">
        <v>18</v>
      </c>
      <c r="G137" t="s">
        <v>95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11A2F-ABF2-4CA3-AB2F-3FCCA8BB2005}">
  <dimension ref="A1:E31"/>
  <sheetViews>
    <sheetView topLeftCell="A12" zoomScale="160" zoomScaleNormal="160" workbookViewId="0">
      <selection activeCell="C32" sqref="C32"/>
    </sheetView>
  </sheetViews>
  <sheetFormatPr baseColWidth="10" defaultRowHeight="14.4" x14ac:dyDescent="0.3"/>
  <sheetData>
    <row r="1" spans="1:5" x14ac:dyDescent="0.3">
      <c r="A1" t="s">
        <v>19</v>
      </c>
      <c r="C1">
        <v>1000</v>
      </c>
    </row>
    <row r="3" spans="1:5" x14ac:dyDescent="0.3">
      <c r="A3" t="s">
        <v>20</v>
      </c>
      <c r="B3" t="s">
        <v>21</v>
      </c>
      <c r="C3">
        <v>1000</v>
      </c>
      <c r="E3">
        <v>220</v>
      </c>
    </row>
    <row r="8" spans="1:5" x14ac:dyDescent="0.3">
      <c r="A8" t="s">
        <v>43</v>
      </c>
    </row>
    <row r="10" spans="1:5" x14ac:dyDescent="0.3">
      <c r="A10" t="s">
        <v>44</v>
      </c>
      <c r="D10">
        <v>30000</v>
      </c>
    </row>
    <row r="12" spans="1:5" x14ac:dyDescent="0.3">
      <c r="A12" t="s">
        <v>45</v>
      </c>
      <c r="C12" s="2">
        <v>7.0000000000000007E-2</v>
      </c>
    </row>
    <row r="13" spans="1:5" x14ac:dyDescent="0.3">
      <c r="A13" t="s">
        <v>46</v>
      </c>
      <c r="C13" s="2">
        <v>0.1</v>
      </c>
    </row>
    <row r="14" spans="1:5" x14ac:dyDescent="0.3">
      <c r="A14" t="s">
        <v>47</v>
      </c>
      <c r="C14" s="2">
        <v>0.03</v>
      </c>
    </row>
    <row r="15" spans="1:5" x14ac:dyDescent="0.3">
      <c r="A15" t="s">
        <v>48</v>
      </c>
      <c r="C15" s="2">
        <v>0.03</v>
      </c>
    </row>
    <row r="17" spans="1:4" x14ac:dyDescent="0.3">
      <c r="C17" s="2">
        <f>SUM(C12:C15)</f>
        <v>0.23</v>
      </c>
    </row>
    <row r="19" spans="1:4" x14ac:dyDescent="0.3">
      <c r="A19" t="s">
        <v>49</v>
      </c>
      <c r="D19">
        <f>D10*1.23</f>
        <v>36900</v>
      </c>
    </row>
    <row r="21" spans="1:4" x14ac:dyDescent="0.3">
      <c r="A21" t="s">
        <v>50</v>
      </c>
      <c r="D21">
        <f>50*40</f>
        <v>2000</v>
      </c>
    </row>
    <row r="23" spans="1:4" x14ac:dyDescent="0.3">
      <c r="A23" t="s">
        <v>51</v>
      </c>
      <c r="D23">
        <f>4*-40</f>
        <v>-160</v>
      </c>
    </row>
    <row r="24" spans="1:4" x14ac:dyDescent="0.3">
      <c r="A24" t="s">
        <v>52</v>
      </c>
      <c r="D24">
        <f>-10*8</f>
        <v>-80</v>
      </c>
    </row>
    <row r="25" spans="1:4" x14ac:dyDescent="0.3">
      <c r="A25" t="s">
        <v>53</v>
      </c>
      <c r="D25">
        <v>-80</v>
      </c>
    </row>
    <row r="27" spans="1:4" x14ac:dyDescent="0.3">
      <c r="A27" t="s">
        <v>54</v>
      </c>
      <c r="D27">
        <v>-100</v>
      </c>
    </row>
    <row r="29" spans="1:4" x14ac:dyDescent="0.3">
      <c r="D29">
        <f>SUM(D21:D27)</f>
        <v>1580</v>
      </c>
    </row>
    <row r="31" spans="1:4" x14ac:dyDescent="0.3">
      <c r="D31" s="3">
        <f>D19/D29</f>
        <v>23.354430379746834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Spritze </vt:lpstr>
      <vt:lpstr>DBWinterdienst</vt:lpstr>
      <vt:lpstr>Lohnkosten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2022-01-12T15:43:10Z</cp:lastPrinted>
  <dcterms:created xsi:type="dcterms:W3CDTF">2022-01-12T14:09:05Z</dcterms:created>
  <dcterms:modified xsi:type="dcterms:W3CDTF">2022-01-19T16:01:55Z</dcterms:modified>
</cp:coreProperties>
</file>