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H:\Agrartechnik\"/>
    </mc:Choice>
  </mc:AlternateContent>
  <bookViews>
    <workbookView xWindow="0" yWindow="0" windowWidth="25200" windowHeight="11850"/>
  </bookViews>
  <sheets>
    <sheet name="Durchschnittskosten_hohe Entfer" sheetId="5" r:id="rId1"/>
    <sheet name="Grenzkosten" sheetId="4" r:id="rId2"/>
    <sheet name="Durchschnittskosten" sheetId="1" r:id="rId3"/>
    <sheet name="Tabelle2" sheetId="2" r:id="rId4"/>
    <sheet name="Tabelle3" sheetId="3" r:id="rId5"/>
  </sheets>
  <definedNames>
    <definedName name="_xlnm._FilterDatabase" localSheetId="3" hidden="1">Tabelle2!$B$2:$E$8</definedName>
  </definedNames>
  <calcPr calcId="162913"/>
</workbook>
</file>

<file path=xl/calcChain.xml><?xml version="1.0" encoding="utf-8"?>
<calcChain xmlns="http://schemas.openxmlformats.org/spreadsheetml/2006/main">
  <c r="G258" i="5" l="1"/>
  <c r="J275" i="5"/>
  <c r="J273" i="5"/>
  <c r="J260" i="5"/>
  <c r="J258" i="5"/>
  <c r="J256" i="5"/>
  <c r="G256" i="5"/>
  <c r="G240" i="5"/>
  <c r="E239" i="5"/>
  <c r="G239" i="5" s="1"/>
  <c r="G238" i="5"/>
  <c r="E238" i="5"/>
  <c r="G234" i="5"/>
  <c r="G235" i="5" s="1"/>
  <c r="E234" i="5"/>
  <c r="E235" i="5" s="1"/>
  <c r="E242" i="5" s="1"/>
  <c r="G231" i="5"/>
  <c r="G226" i="5"/>
  <c r="G225" i="5"/>
  <c r="E221" i="5"/>
  <c r="G214" i="5"/>
  <c r="G211" i="5"/>
  <c r="I210" i="5"/>
  <c r="I211" i="5" s="1"/>
  <c r="I213" i="5" s="1"/>
  <c r="G210" i="5"/>
  <c r="E205" i="5"/>
  <c r="G199" i="5"/>
  <c r="G205" i="5" s="1"/>
  <c r="E252" i="5" s="1"/>
  <c r="J252" i="5" s="1"/>
  <c r="G198" i="5"/>
  <c r="G195" i="5"/>
  <c r="G194" i="5"/>
  <c r="I189" i="5"/>
  <c r="E186" i="5"/>
  <c r="E189" i="5" s="1"/>
  <c r="E182" i="5"/>
  <c r="G179" i="5"/>
  <c r="G178" i="5"/>
  <c r="G182" i="5" s="1"/>
  <c r="G183" i="5" s="1"/>
  <c r="F162" i="5"/>
  <c r="F161" i="5"/>
  <c r="I160" i="5"/>
  <c r="F160" i="5"/>
  <c r="F158" i="5"/>
  <c r="F142" i="5"/>
  <c r="F146" i="5" s="1"/>
  <c r="F138" i="5"/>
  <c r="F136" i="5"/>
  <c r="F140" i="5" s="1"/>
  <c r="E58" i="5"/>
  <c r="E57" i="5"/>
  <c r="M55" i="5"/>
  <c r="I55" i="5"/>
  <c r="I54" i="5"/>
  <c r="I53" i="5"/>
  <c r="I52" i="5"/>
  <c r="I51" i="5"/>
  <c r="M50" i="5"/>
  <c r="I50" i="5"/>
  <c r="I49" i="5"/>
  <c r="M48" i="5"/>
  <c r="I142" i="5" s="1"/>
  <c r="I48" i="5"/>
  <c r="I47" i="5"/>
  <c r="I46" i="5"/>
  <c r="M45" i="5"/>
  <c r="I45" i="5"/>
  <c r="I44" i="5"/>
  <c r="M43" i="5"/>
  <c r="I43" i="5"/>
  <c r="I42" i="5"/>
  <c r="M53" i="5" s="1"/>
  <c r="F144" i="5" s="1"/>
  <c r="E254" i="4"/>
  <c r="E253" i="4"/>
  <c r="E252" i="4"/>
  <c r="E251" i="4"/>
  <c r="J275" i="4"/>
  <c r="J273" i="4"/>
  <c r="J260" i="4"/>
  <c r="G258" i="4"/>
  <c r="J258" i="4" s="1"/>
  <c r="J256" i="4"/>
  <c r="G256" i="4"/>
  <c r="G240" i="4"/>
  <c r="E239" i="4"/>
  <c r="G239" i="4" s="1"/>
  <c r="G238" i="4"/>
  <c r="E238" i="4"/>
  <c r="G234" i="4"/>
  <c r="G235" i="4" s="1"/>
  <c r="E234" i="4"/>
  <c r="E235" i="4" s="1"/>
  <c r="E242" i="4" s="1"/>
  <c r="G231" i="4"/>
  <c r="G226" i="4"/>
  <c r="G225" i="4"/>
  <c r="E221" i="4"/>
  <c r="G214" i="4"/>
  <c r="G215" i="4" s="1"/>
  <c r="G221" i="4" s="1"/>
  <c r="J254" i="4" s="1"/>
  <c r="G211" i="4"/>
  <c r="I210" i="4"/>
  <c r="I211" i="4" s="1"/>
  <c r="I213" i="4" s="1"/>
  <c r="G210" i="4"/>
  <c r="E205" i="4"/>
  <c r="G199" i="4"/>
  <c r="G205" i="4" s="1"/>
  <c r="G198" i="4"/>
  <c r="G195" i="4"/>
  <c r="G194" i="4"/>
  <c r="I189" i="4"/>
  <c r="E186" i="4"/>
  <c r="E189" i="4" s="1"/>
  <c r="E182" i="4"/>
  <c r="G179" i="4"/>
  <c r="G178" i="4"/>
  <c r="G182" i="4" s="1"/>
  <c r="G183" i="4" s="1"/>
  <c r="F162" i="4"/>
  <c r="F161" i="4"/>
  <c r="I160" i="4"/>
  <c r="F160" i="4"/>
  <c r="F164" i="4" s="1"/>
  <c r="F158" i="4"/>
  <c r="I142" i="4"/>
  <c r="F142" i="4"/>
  <c r="F146" i="4" s="1"/>
  <c r="F138" i="4"/>
  <c r="F136" i="4"/>
  <c r="F140" i="4" s="1"/>
  <c r="E58" i="4"/>
  <c r="E57" i="4"/>
  <c r="M55" i="4"/>
  <c r="I55" i="4"/>
  <c r="I54" i="4"/>
  <c r="I53" i="4"/>
  <c r="I52" i="4"/>
  <c r="I51" i="4"/>
  <c r="M50" i="4"/>
  <c r="I50" i="4"/>
  <c r="I49" i="4"/>
  <c r="M48" i="4"/>
  <c r="I48" i="4"/>
  <c r="I47" i="4"/>
  <c r="I46" i="4"/>
  <c r="M45" i="4"/>
  <c r="I45" i="4"/>
  <c r="I44" i="4"/>
  <c r="M43" i="4"/>
  <c r="I43" i="4"/>
  <c r="I42" i="4"/>
  <c r="M53" i="4" s="1"/>
  <c r="F144" i="4" s="1"/>
  <c r="J280" i="1"/>
  <c r="J275" i="1"/>
  <c r="J273" i="1"/>
  <c r="J271" i="1"/>
  <c r="J262" i="1"/>
  <c r="J260" i="1"/>
  <c r="J258" i="1"/>
  <c r="G258" i="1"/>
  <c r="J256" i="1"/>
  <c r="G256" i="1"/>
  <c r="J254" i="1"/>
  <c r="E254" i="1"/>
  <c r="J253" i="1"/>
  <c r="E253" i="1"/>
  <c r="J252" i="1"/>
  <c r="E252" i="1"/>
  <c r="J251" i="1"/>
  <c r="E251" i="1"/>
  <c r="G242" i="1"/>
  <c r="E242" i="1"/>
  <c r="G235" i="1"/>
  <c r="E235" i="1"/>
  <c r="E239" i="1"/>
  <c r="G240" i="1"/>
  <c r="G239" i="1"/>
  <c r="G238" i="1"/>
  <c r="E238" i="1"/>
  <c r="G234" i="1"/>
  <c r="E234" i="1"/>
  <c r="G231" i="1"/>
  <c r="G226" i="1"/>
  <c r="G225" i="1"/>
  <c r="F164" i="5" l="1"/>
  <c r="F166" i="5" s="1"/>
  <c r="F148" i="5"/>
  <c r="F150" i="5" s="1"/>
  <c r="G242" i="5"/>
  <c r="E253" i="5" s="1"/>
  <c r="J253" i="5" s="1"/>
  <c r="G215" i="5"/>
  <c r="G221" i="5" s="1"/>
  <c r="E254" i="5" s="1"/>
  <c r="J254" i="5" s="1"/>
  <c r="G186" i="5"/>
  <c r="G189" i="5" s="1"/>
  <c r="E251" i="5" s="1"/>
  <c r="J251" i="5" s="1"/>
  <c r="J262" i="5" s="1"/>
  <c r="J271" i="5" s="1"/>
  <c r="J280" i="5" s="1"/>
  <c r="J252" i="4"/>
  <c r="F148" i="4"/>
  <c r="F150" i="4" s="1"/>
  <c r="F166" i="4"/>
  <c r="G242" i="4"/>
  <c r="J253" i="4" s="1"/>
  <c r="G186" i="4"/>
  <c r="G189" i="4" s="1"/>
  <c r="J251" i="4" s="1"/>
  <c r="E221" i="1"/>
  <c r="G211" i="1"/>
  <c r="G210" i="1"/>
  <c r="G214" i="1" s="1"/>
  <c r="E205" i="1"/>
  <c r="G195" i="1"/>
  <c r="G194" i="1"/>
  <c r="G198" i="1" s="1"/>
  <c r="G199" i="1" s="1"/>
  <c r="G205" i="1" s="1"/>
  <c r="I189" i="1"/>
  <c r="E186" i="1"/>
  <c r="E189" i="1" s="1"/>
  <c r="E182" i="1"/>
  <c r="G179" i="1"/>
  <c r="G178" i="1"/>
  <c r="F162" i="1"/>
  <c r="F161" i="1"/>
  <c r="F160" i="1"/>
  <c r="I160" i="1" s="1"/>
  <c r="F158" i="1"/>
  <c r="J262" i="4" l="1"/>
  <c r="J271" i="4" s="1"/>
  <c r="J280" i="4" s="1"/>
  <c r="G186" i="1"/>
  <c r="G182" i="1"/>
  <c r="G183" i="1" s="1"/>
  <c r="F164" i="1"/>
  <c r="F166" i="1" s="1"/>
  <c r="F142" i="1"/>
  <c r="I210" i="1" s="1"/>
  <c r="I211" i="1" s="1"/>
  <c r="I213" i="1" s="1"/>
  <c r="G215" i="1" s="1"/>
  <c r="G221" i="1" s="1"/>
  <c r="G189" i="1" l="1"/>
  <c r="F136" i="1"/>
  <c r="M48" i="1"/>
  <c r="I142" i="1" s="1"/>
  <c r="E58" i="1"/>
  <c r="M43" i="1"/>
  <c r="I42" i="1"/>
  <c r="F138" i="1" l="1"/>
  <c r="F140" i="1" s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M53" i="1" l="1"/>
  <c r="F144" i="1" s="1"/>
  <c r="F146" i="1" s="1"/>
  <c r="E57" i="1"/>
  <c r="F148" i="1" l="1"/>
  <c r="F150" i="1" s="1"/>
  <c r="M50" i="1"/>
  <c r="M45" i="1"/>
  <c r="M55" i="1"/>
</calcChain>
</file>

<file path=xl/sharedStrings.xml><?xml version="1.0" encoding="utf-8"?>
<sst xmlns="http://schemas.openxmlformats.org/spreadsheetml/2006/main" count="1352" uniqueCount="230">
  <si>
    <t>Ein Kunde bittet Sie um ein Komplettangebot für die Ernte seiner Silomaisflächen.</t>
  </si>
  <si>
    <t xml:space="preserve">Insgesamt geht es dabei um 100 ha Silomais. Der Kunde möchte, dass Sie die gesamte  </t>
  </si>
  <si>
    <t xml:space="preserve">Verfahrenskette (Häckseln, Transport und Verdichten) übernehmen. </t>
  </si>
  <si>
    <t>Die Ernte soll an zwei Terminen mit jeweils zwei bis drei aufeinanderfolgenden Tagen erfolgen.</t>
  </si>
  <si>
    <t>2.</t>
  </si>
  <si>
    <t>Erntetermin</t>
  </si>
  <si>
    <t>Feld</t>
  </si>
  <si>
    <t>Größe</t>
  </si>
  <si>
    <t>Steinfeld</t>
  </si>
  <si>
    <t>Baumgarten</t>
  </si>
  <si>
    <t>Loch</t>
  </si>
  <si>
    <t>Stocki</t>
  </si>
  <si>
    <t>Lang</t>
  </si>
  <si>
    <t>Ackerlänge</t>
  </si>
  <si>
    <t>Neufeld</t>
  </si>
  <si>
    <t>Lieferant A</t>
  </si>
  <si>
    <t>Lieferant B</t>
  </si>
  <si>
    <t>Hohe Leite</t>
  </si>
  <si>
    <t>Hohe Leite II</t>
  </si>
  <si>
    <t>Lieferant C</t>
  </si>
  <si>
    <t>Liefernat D</t>
  </si>
  <si>
    <t>Liefernat E</t>
  </si>
  <si>
    <t>frei</t>
  </si>
  <si>
    <t>Häckselleistung</t>
  </si>
  <si>
    <t>3.</t>
  </si>
  <si>
    <t>Sie erhalten bzw. erarbeiten sich folgende Informationen:</t>
  </si>
  <si>
    <t>und Personal</t>
  </si>
  <si>
    <t>Feldhäcksler (8 reihig, 400 kW)</t>
  </si>
  <si>
    <t>Anschaffungspreis</t>
  </si>
  <si>
    <t xml:space="preserve"> €</t>
  </si>
  <si>
    <t>Restwert</t>
  </si>
  <si>
    <t>Zinssatz</t>
  </si>
  <si>
    <t xml:space="preserve"> %</t>
  </si>
  <si>
    <t>Versicherung/ sonstige fixe Kosten</t>
  </si>
  <si>
    <t xml:space="preserve"> €/Jahr</t>
  </si>
  <si>
    <t>Reparatur/ Instandsetzung</t>
  </si>
  <si>
    <t xml:space="preserve"> €/h</t>
  </si>
  <si>
    <t xml:space="preserve">Betriebsstoffe: </t>
  </si>
  <si>
    <t/>
  </si>
  <si>
    <t>davon Diesel</t>
  </si>
  <si>
    <t xml:space="preserve"> l/h</t>
  </si>
  <si>
    <t xml:space="preserve">       Öl</t>
  </si>
  <si>
    <t>Nutzungspotenzial nach Zeit</t>
  </si>
  <si>
    <t xml:space="preserve"> Jahre</t>
  </si>
  <si>
    <t>Nutzungspotenzial nach Leistung</t>
  </si>
  <si>
    <t xml:space="preserve"> h</t>
  </si>
  <si>
    <t>Auslastungsschwelle</t>
  </si>
  <si>
    <t>In Ihrem Lohnunternehmen haben Sie nachfolgende Kapazitäten an Mechanisierung</t>
  </si>
  <si>
    <t>Maisgebiss für Feldhäcksler 6 m; reihenunabhängig</t>
  </si>
  <si>
    <t xml:space="preserve"> €/ha</t>
  </si>
  <si>
    <t xml:space="preserve"> </t>
  </si>
  <si>
    <t xml:space="preserve"> ha</t>
  </si>
  <si>
    <t>Standardtraktor, Allradantrieb, stufenloses Getriebe 93-111 kW</t>
  </si>
  <si>
    <t>Häckselguttransportwagen bis 40 km/h Tandemachse; 20 t (40 m³)</t>
  </si>
  <si>
    <t xml:space="preserve"> €/t</t>
  </si>
  <si>
    <t xml:space="preserve"> t</t>
  </si>
  <si>
    <t>2 x</t>
  </si>
  <si>
    <t>Darüber hinaus besteht zu folgenden Konditionen die Möglichkeit Subunternehmer zu</t>
  </si>
  <si>
    <t>beschäftigen:</t>
  </si>
  <si>
    <t>€/h</t>
  </si>
  <si>
    <t>Transporteinheit (40m³ + Schlepper u. Mann)</t>
  </si>
  <si>
    <t>3 x</t>
  </si>
  <si>
    <t xml:space="preserve">Walzschlepper </t>
  </si>
  <si>
    <t>t FM/h</t>
  </si>
  <si>
    <t>b)</t>
  </si>
  <si>
    <t>Bestimmen Sie die Anzahl der Transportgespanne.</t>
  </si>
  <si>
    <t>(Welche Angaben sind zu berücksichtigen?)</t>
  </si>
  <si>
    <t>km</t>
  </si>
  <si>
    <t>c)</t>
  </si>
  <si>
    <t>Überprüfung der Arbeitszeitvorgabe</t>
  </si>
  <si>
    <t>d)</t>
  </si>
  <si>
    <t>Maschinenkosten Maisgebiss</t>
  </si>
  <si>
    <t>Maschinenkosten Häckseltransportwagen</t>
  </si>
  <si>
    <t>a)</t>
  </si>
  <si>
    <t>e)</t>
  </si>
  <si>
    <t>f)</t>
  </si>
  <si>
    <t>Berechnen Sie die Verfahrenskosten</t>
  </si>
  <si>
    <t>Berechen Sie die Vollkosten und legen einen Angebotspreis fest</t>
  </si>
  <si>
    <t>(fehlende Angaben ergänzen)</t>
  </si>
  <si>
    <t>t FM/ha</t>
  </si>
  <si>
    <t xml:space="preserve">Maschinenkosten des Häckslers </t>
  </si>
  <si>
    <t>Gesamtfläche</t>
  </si>
  <si>
    <t>ha</t>
  </si>
  <si>
    <t>arithm.Mittel</t>
  </si>
  <si>
    <t>geom.Mittel</t>
  </si>
  <si>
    <t>€/L</t>
  </si>
  <si>
    <t>durchs Gew ha</t>
  </si>
  <si>
    <t>?</t>
  </si>
  <si>
    <t>durchs Häckselleistung</t>
  </si>
  <si>
    <t>durchs gew ha</t>
  </si>
  <si>
    <t>durchs Ertrag</t>
  </si>
  <si>
    <t>durchs Entf</t>
  </si>
  <si>
    <t>t/h</t>
  </si>
  <si>
    <t>arithm. Mittel</t>
  </si>
  <si>
    <t>geom. Mittel</t>
  </si>
  <si>
    <t xml:space="preserve">   begrenzt durch Ertrag (&lt; 40 t/ha)</t>
  </si>
  <si>
    <r>
      <t xml:space="preserve">   </t>
    </r>
    <r>
      <rPr>
        <sz val="10"/>
        <rFont val="Arial"/>
        <family val="2"/>
      </rPr>
      <t>begrenzt durch Schlaggröße (&lt; 5 ha)</t>
    </r>
  </si>
  <si>
    <t>Feld-Hof-
Entf.</t>
  </si>
  <si>
    <t>Reihen-
folge</t>
  </si>
  <si>
    <t>Ertrags-
erwartung</t>
  </si>
  <si>
    <t>Häcksel-
leistung</t>
  </si>
  <si>
    <t>1.</t>
  </si>
  <si>
    <t>Welche Fragen haben Sie an den Kunden, was sollte ggf. im Angebot festgehalten werden?</t>
  </si>
  <si>
    <t>- Anzahl der Schläge - Schlaggröße</t>
  </si>
  <si>
    <t>- Hof-Feld-Entfernung</t>
  </si>
  <si>
    <t>- Siliermitteleinsatz</t>
  </si>
  <si>
    <t>- Arbeitszeiten Einschränkungen</t>
  </si>
  <si>
    <t>- Wegesituation (Bundesstraßen, Wohngebiete, t-begrenzte Brücken, Unterführungen, …)</t>
  </si>
  <si>
    <t>- Straßenreinigung bei Verschmutzung</t>
  </si>
  <si>
    <t>- Kraftstoff vom Kunde oder selber mitbringen</t>
  </si>
  <si>
    <t>- Häcksellänge</t>
  </si>
  <si>
    <t xml:space="preserve">- Aufbau vom Silo </t>
  </si>
  <si>
    <t>- Zufahrt Hof/Silo</t>
  </si>
  <si>
    <t>- Körneraufbereitung / Schredlage</t>
  </si>
  <si>
    <t>- Wettereinschränkungen</t>
  </si>
  <si>
    <t>- Verpflegung</t>
  </si>
  <si>
    <t>- Schlagstruktur - Geländegegebenheiten</t>
  </si>
  <si>
    <t>- Verteilung Erntetermin</t>
  </si>
  <si>
    <t>- TS-Gehalt</t>
  </si>
  <si>
    <t xml:space="preserve">- Ertrag </t>
  </si>
  <si>
    <t>- Mautstraßen</t>
  </si>
  <si>
    <t>- Kunde gewerblich</t>
  </si>
  <si>
    <t>- mehrere Häcksler oder nur einer</t>
  </si>
  <si>
    <t>- Reihenabstand</t>
  </si>
  <si>
    <t>- Abrechnungsbasis (ha oder h oder t)</t>
  </si>
  <si>
    <t xml:space="preserve">- Dauerauftrag </t>
  </si>
  <si>
    <t>- Zahlungsziel</t>
  </si>
  <si>
    <t>- Vorlaufzeit vor eigentlichem Erntetermin</t>
  </si>
  <si>
    <t>- "Besondere Vorschirften" (Abdecksysteme, Selbständig Probe-ziehen, Waagevorgang,…)</t>
  </si>
  <si>
    <t>- NIR-Sensor / online Ertragserfassung</t>
  </si>
  <si>
    <t xml:space="preserve"> - können LKWs eingesetzt werden?</t>
  </si>
  <si>
    <t>€ Schätzung</t>
  </si>
  <si>
    <t>Anzahl Feldstücke</t>
  </si>
  <si>
    <t>St</t>
  </si>
  <si>
    <t>Bestimmen Sie die Anzahl der Feldhäcksler die Sie einsetzen.</t>
  </si>
  <si>
    <t>Zielvorgabe in Tagen</t>
  </si>
  <si>
    <t>d</t>
  </si>
  <si>
    <t>tägl. Arbeitszeit (7:00 bis 22:00)</t>
  </si>
  <si>
    <t>h</t>
  </si>
  <si>
    <t xml:space="preserve"> = Arbeitszeit brutto</t>
  </si>
  <si>
    <t>durchs Gew km</t>
  </si>
  <si>
    <t xml:space="preserve"> - Ausfallzeiten</t>
  </si>
  <si>
    <t>Arbeitszeit netto</t>
  </si>
  <si>
    <t>Gesamtertrag</t>
  </si>
  <si>
    <t>100ha</t>
  </si>
  <si>
    <t xml:space="preserve">to / ha </t>
  </si>
  <si>
    <t>to</t>
  </si>
  <si>
    <t xml:space="preserve"> / durchschnittliche Häckselleistung</t>
  </si>
  <si>
    <t>to /h</t>
  </si>
  <si>
    <t>Zeitbedarf nur fürs Häckseln</t>
  </si>
  <si>
    <t xml:space="preserve"> + Wege - und Rüstzeiten</t>
  </si>
  <si>
    <t>Gesamtarbeitszeitbedarf</t>
  </si>
  <si>
    <t>ein Häcksler</t>
  </si>
  <si>
    <t>Volumen des Anhängers</t>
  </si>
  <si>
    <t>m³</t>
  </si>
  <si>
    <t>Gewicht Häckselgut</t>
  </si>
  <si>
    <t>to /m³</t>
  </si>
  <si>
    <t>Zuladung Anhänger</t>
  </si>
  <si>
    <t>Beladen</t>
  </si>
  <si>
    <t>h / Anhänger</t>
  </si>
  <si>
    <t>Fahrzeit</t>
  </si>
  <si>
    <t>h/Anhänger</t>
  </si>
  <si>
    <t>Abladen</t>
  </si>
  <si>
    <t>h/Runde</t>
  </si>
  <si>
    <t>Ladevorgänge pro Stunde</t>
  </si>
  <si>
    <t>Anzahl der Fahrzeuge</t>
  </si>
  <si>
    <t>Fahrzeuge</t>
  </si>
  <si>
    <t>1/0,157</t>
  </si>
  <si>
    <t>Aufgrund vom Feldwechsel abrunden auf 3 eigene Fahrzeuge + 1 Mietfahrzeug</t>
  </si>
  <si>
    <t>Afa</t>
  </si>
  <si>
    <t xml:space="preserve">feste Kosten </t>
  </si>
  <si>
    <t>bisherige Nutzung 150 h /Jahr</t>
  </si>
  <si>
    <t>Nach Grenzkosten</t>
  </si>
  <si>
    <t xml:space="preserve">Durchschnittskosten </t>
  </si>
  <si>
    <t>€/a</t>
  </si>
  <si>
    <t xml:space="preserve">Zinsanspruch </t>
  </si>
  <si>
    <t>(326000+75000)/2*0,03</t>
  </si>
  <si>
    <t xml:space="preserve">sonstiges </t>
  </si>
  <si>
    <t xml:space="preserve">Summe Festkosten </t>
  </si>
  <si>
    <t xml:space="preserve">variable Kosten </t>
  </si>
  <si>
    <t xml:space="preserve">Betriebsstoffkosten </t>
  </si>
  <si>
    <t>Reparaturkosten</t>
  </si>
  <si>
    <t xml:space="preserve">Gesamtkosten </t>
  </si>
  <si>
    <t>h/Jahr</t>
  </si>
  <si>
    <t xml:space="preserve">bisheriger Einsatzumfang </t>
  </si>
  <si>
    <t>ha / Jahr</t>
  </si>
  <si>
    <t>€/Jahr</t>
  </si>
  <si>
    <t>€/ha</t>
  </si>
  <si>
    <t>€/to</t>
  </si>
  <si>
    <t>bisheriger Einsatzumfang</t>
  </si>
  <si>
    <t xml:space="preserve">to / Jahr </t>
  </si>
  <si>
    <t xml:space="preserve">to Maisertrag für 100 ha </t>
  </si>
  <si>
    <t>to Mehrmenge je Abschieber durch die 100 ha zusätzlich</t>
  </si>
  <si>
    <t xml:space="preserve">to Einsatzumfang / Jahr </t>
  </si>
  <si>
    <t>Schlepper</t>
  </si>
  <si>
    <t>bisheriger Einsatzumfang 1000 h / Schlepper</t>
  </si>
  <si>
    <t xml:space="preserve">Abschreibungsschwelle: </t>
  </si>
  <si>
    <t xml:space="preserve">überschwellige Nutzung </t>
  </si>
  <si>
    <t xml:space="preserve">neuer Einsatzumfang </t>
  </si>
  <si>
    <t xml:space="preserve">h / Jahr </t>
  </si>
  <si>
    <t xml:space="preserve">Grenzkosten </t>
  </si>
  <si>
    <t xml:space="preserve">€/Jahr </t>
  </si>
  <si>
    <t>Abschreibung</t>
  </si>
  <si>
    <t xml:space="preserve">Durschnittskosten </t>
  </si>
  <si>
    <t xml:space="preserve">ha Mais </t>
  </si>
  <si>
    <t>Feldhäcksler</t>
  </si>
  <si>
    <t xml:space="preserve">h/Jahr </t>
  </si>
  <si>
    <t>Maisgebiss</t>
  </si>
  <si>
    <t xml:space="preserve">ha/Jahr </t>
  </si>
  <si>
    <t>€</t>
  </si>
  <si>
    <t xml:space="preserve">h/Jahr und Schlepper </t>
  </si>
  <si>
    <t xml:space="preserve">3 Schlepper ! </t>
  </si>
  <si>
    <t xml:space="preserve">Häckselwagen </t>
  </si>
  <si>
    <t xml:space="preserve">€/to </t>
  </si>
  <si>
    <t xml:space="preserve">Annahme: jedes eigene Fahrzeug transportiert ca 1000 to </t>
  </si>
  <si>
    <t>to / Wagen und Jahr</t>
  </si>
  <si>
    <t>Lohnsanspruch eigene Fahrer</t>
  </si>
  <si>
    <t xml:space="preserve">zus. Transporteinheiten </t>
  </si>
  <si>
    <t>Walzschlepper</t>
  </si>
  <si>
    <t xml:space="preserve">Summe Verfahrenskosten </t>
  </si>
  <si>
    <t xml:space="preserve">Verfahrenskosten </t>
  </si>
  <si>
    <t xml:space="preserve"> + Brotzeit,… Bier, Grill</t>
  </si>
  <si>
    <t>allgemeine Arbeit</t>
  </si>
  <si>
    <t>25€/h</t>
  </si>
  <si>
    <t>anteilige Fest- und Gemeinkosten (Tablet, Handy, Buchhaltung,…)</t>
  </si>
  <si>
    <t xml:space="preserve">Vollkosten </t>
  </si>
  <si>
    <t xml:space="preserve">langfristiger Angebotspreis </t>
  </si>
  <si>
    <t xml:space="preserve">Konkurrenzpreis </t>
  </si>
  <si>
    <t xml:space="preserve">kurzfristige Preisuntergrenze </t>
  </si>
  <si>
    <t xml:space="preserve">Kurzfristiger Angebotspreis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</si>
</sst>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2" fontId="0" fillId="2" borderId="0" xfId="0" applyNumberFormat="1" applyFill="1"/>
    <xf numFmtId="164" fontId="0" fillId="2" borderId="0" xfId="0" applyNumberFormat="1" applyFill="1"/>
    <xf numFmtId="0" fontId="4" fillId="0" borderId="0" xfId="0" applyFont="1" applyFill="1"/>
    <xf numFmtId="0" fontId="0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2" fontId="0" fillId="0" borderId="0" xfId="0" applyNumberFormat="1"/>
    <xf numFmtId="0" fontId="1" fillId="0" borderId="0" xfId="0" quotePrefix="1" applyFont="1"/>
    <xf numFmtId="0" fontId="0" fillId="0" borderId="0" xfId="0" applyBorder="1"/>
    <xf numFmtId="2" fontId="3" fillId="0" borderId="0" xfId="0" applyNumberFormat="1" applyFont="1"/>
    <xf numFmtId="0" fontId="4" fillId="0" borderId="0" xfId="0" applyFont="1" applyBorder="1"/>
    <xf numFmtId="0" fontId="0" fillId="0" borderId="0" xfId="0" applyFill="1" applyBorder="1"/>
    <xf numFmtId="0" fontId="1" fillId="0" borderId="0" xfId="0" applyFont="1" applyAlignment="1">
      <alignment horizontal="right"/>
    </xf>
    <xf numFmtId="0" fontId="0" fillId="3" borderId="0" xfId="0" applyFill="1"/>
    <xf numFmtId="0" fontId="3" fillId="0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ont="1" applyFill="1" applyBorder="1"/>
    <xf numFmtId="2" fontId="0" fillId="0" borderId="0" xfId="0" applyNumberFormat="1" applyFill="1" applyBorder="1"/>
    <xf numFmtId="1" fontId="0" fillId="0" borderId="0" xfId="0" applyNumberFormat="1"/>
    <xf numFmtId="2" fontId="0" fillId="0" borderId="0" xfId="0" applyNumberFormat="1" applyBorder="1"/>
    <xf numFmtId="0" fontId="1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85"/>
  <sheetViews>
    <sheetView tabSelected="1" topLeftCell="A249" zoomScale="190" zoomScaleNormal="190" workbookViewId="0">
      <selection activeCell="G263" sqref="G263"/>
    </sheetView>
  </sheetViews>
  <sheetFormatPr baseColWidth="10" defaultRowHeight="12.75" x14ac:dyDescent="0.2"/>
  <cols>
    <col min="1" max="1" width="0.5703125" customWidth="1"/>
    <col min="2" max="2" width="4" customWidth="1"/>
    <col min="5" max="5" width="12.85546875" customWidth="1"/>
    <col min="7" max="7" width="13" bestFit="1" customWidth="1"/>
  </cols>
  <sheetData>
    <row r="2" spans="2:15" x14ac:dyDescent="0.2">
      <c r="C2" t="s">
        <v>0</v>
      </c>
    </row>
    <row r="3" spans="2:15" x14ac:dyDescent="0.2">
      <c r="C3" t="s">
        <v>1</v>
      </c>
    </row>
    <row r="4" spans="2:15" x14ac:dyDescent="0.2">
      <c r="C4" t="s">
        <v>2</v>
      </c>
    </row>
    <row r="5" spans="2:15" x14ac:dyDescent="0.2">
      <c r="C5" t="s">
        <v>3</v>
      </c>
    </row>
    <row r="8" spans="2:15" s="4" customFormat="1" x14ac:dyDescent="0.2">
      <c r="B8" s="4" t="s">
        <v>101</v>
      </c>
      <c r="C8" s="4" t="s">
        <v>102</v>
      </c>
      <c r="L8"/>
      <c r="M8"/>
      <c r="N8"/>
      <c r="O8"/>
    </row>
    <row r="10" spans="2:15" x14ac:dyDescent="0.2">
      <c r="C10" s="14" t="s">
        <v>103</v>
      </c>
      <c r="G10" s="2"/>
    </row>
    <row r="11" spans="2:15" x14ac:dyDescent="0.2">
      <c r="C11" s="14" t="s">
        <v>104</v>
      </c>
      <c r="G11" s="2"/>
    </row>
    <row r="12" spans="2:15" x14ac:dyDescent="0.2">
      <c r="C12" s="14" t="s">
        <v>105</v>
      </c>
      <c r="G12" s="2"/>
    </row>
    <row r="13" spans="2:15" x14ac:dyDescent="0.2">
      <c r="C13" s="14" t="s">
        <v>106</v>
      </c>
      <c r="G13" s="2"/>
    </row>
    <row r="14" spans="2:15" x14ac:dyDescent="0.2">
      <c r="C14" s="14" t="s">
        <v>107</v>
      </c>
      <c r="G14" s="2"/>
    </row>
    <row r="15" spans="2:15" x14ac:dyDescent="0.2">
      <c r="C15" s="14" t="s">
        <v>108</v>
      </c>
      <c r="G15" s="2"/>
    </row>
    <row r="16" spans="2:15" x14ac:dyDescent="0.2">
      <c r="C16" s="14" t="s">
        <v>109</v>
      </c>
      <c r="G16" s="2"/>
    </row>
    <row r="17" spans="3:7" x14ac:dyDescent="0.2">
      <c r="C17" s="14" t="s">
        <v>110</v>
      </c>
      <c r="G17" s="2"/>
    </row>
    <row r="18" spans="3:7" x14ac:dyDescent="0.2">
      <c r="C18" s="14" t="s">
        <v>111</v>
      </c>
      <c r="G18" s="2"/>
    </row>
    <row r="19" spans="3:7" x14ac:dyDescent="0.2">
      <c r="C19" s="14" t="s">
        <v>112</v>
      </c>
      <c r="G19" s="2"/>
    </row>
    <row r="20" spans="3:7" x14ac:dyDescent="0.2">
      <c r="C20" s="14" t="s">
        <v>113</v>
      </c>
      <c r="G20" s="2"/>
    </row>
    <row r="21" spans="3:7" x14ac:dyDescent="0.2">
      <c r="C21" s="14" t="s">
        <v>114</v>
      </c>
      <c r="G21" s="2"/>
    </row>
    <row r="22" spans="3:7" x14ac:dyDescent="0.2">
      <c r="C22" s="14" t="s">
        <v>115</v>
      </c>
    </row>
    <row r="23" spans="3:7" x14ac:dyDescent="0.2">
      <c r="C23" s="14" t="s">
        <v>116</v>
      </c>
    </row>
    <row r="24" spans="3:7" x14ac:dyDescent="0.2">
      <c r="C24" s="14" t="s">
        <v>117</v>
      </c>
    </row>
    <row r="25" spans="3:7" x14ac:dyDescent="0.2">
      <c r="C25" s="14" t="s">
        <v>118</v>
      </c>
    </row>
    <row r="26" spans="3:7" x14ac:dyDescent="0.2">
      <c r="C26" s="14" t="s">
        <v>129</v>
      </c>
    </row>
    <row r="27" spans="3:7" x14ac:dyDescent="0.2">
      <c r="C27" s="14" t="s">
        <v>119</v>
      </c>
    </row>
    <row r="28" spans="3:7" x14ac:dyDescent="0.2">
      <c r="C28" s="14" t="s">
        <v>120</v>
      </c>
    </row>
    <row r="29" spans="3:7" x14ac:dyDescent="0.2">
      <c r="C29" s="14" t="s">
        <v>121</v>
      </c>
    </row>
    <row r="30" spans="3:7" x14ac:dyDescent="0.2">
      <c r="C30" s="14" t="s">
        <v>122</v>
      </c>
    </row>
    <row r="31" spans="3:7" x14ac:dyDescent="0.2">
      <c r="C31" s="14" t="s">
        <v>123</v>
      </c>
    </row>
    <row r="32" spans="3:7" x14ac:dyDescent="0.2">
      <c r="C32" s="14" t="s">
        <v>124</v>
      </c>
    </row>
    <row r="33" spans="2:15" x14ac:dyDescent="0.2">
      <c r="C33" s="14" t="s">
        <v>125</v>
      </c>
    </row>
    <row r="34" spans="2:15" x14ac:dyDescent="0.2">
      <c r="C34" s="14" t="s">
        <v>126</v>
      </c>
    </row>
    <row r="35" spans="2:15" x14ac:dyDescent="0.2">
      <c r="C35" s="14" t="s">
        <v>127</v>
      </c>
    </row>
    <row r="36" spans="2:15" x14ac:dyDescent="0.2">
      <c r="C36" s="14" t="s">
        <v>128</v>
      </c>
    </row>
    <row r="37" spans="2:15" x14ac:dyDescent="0.2">
      <c r="C37" s="14" t="s">
        <v>130</v>
      </c>
    </row>
    <row r="38" spans="2:15" x14ac:dyDescent="0.2">
      <c r="C38" s="14"/>
    </row>
    <row r="39" spans="2:15" s="4" customFormat="1" x14ac:dyDescent="0.2">
      <c r="B39" s="4" t="s">
        <v>4</v>
      </c>
      <c r="C39" s="4" t="s">
        <v>25</v>
      </c>
      <c r="L39"/>
      <c r="M39"/>
      <c r="N39"/>
      <c r="O39"/>
    </row>
    <row r="41" spans="2:15" ht="25.5" x14ac:dyDescent="0.2">
      <c r="C41" s="4" t="s">
        <v>5</v>
      </c>
      <c r="D41" s="4" t="s">
        <v>6</v>
      </c>
      <c r="E41" s="4" t="s">
        <v>7</v>
      </c>
      <c r="F41" s="12" t="s">
        <v>97</v>
      </c>
      <c r="G41" s="12" t="s">
        <v>98</v>
      </c>
      <c r="H41" s="12" t="s">
        <v>99</v>
      </c>
      <c r="I41" s="12" t="s">
        <v>100</v>
      </c>
      <c r="K41" s="1"/>
    </row>
    <row r="42" spans="2:15" x14ac:dyDescent="0.2">
      <c r="C42" s="11" t="s">
        <v>87</v>
      </c>
      <c r="D42" t="s">
        <v>13</v>
      </c>
      <c r="E42" s="20">
        <v>15</v>
      </c>
      <c r="F42" s="20">
        <v>1.5</v>
      </c>
      <c r="G42" t="s">
        <v>22</v>
      </c>
      <c r="H42">
        <v>35</v>
      </c>
      <c r="I42">
        <f>IF(E42&lt;5,$F$67,IF(H42&lt;40,$F$68,$F$66))</f>
        <v>100</v>
      </c>
      <c r="K42" s="1"/>
      <c r="M42" s="13"/>
    </row>
    <row r="43" spans="2:15" x14ac:dyDescent="0.2">
      <c r="C43" s="11" t="s">
        <v>87</v>
      </c>
      <c r="D43" t="s">
        <v>9</v>
      </c>
      <c r="E43" s="20">
        <v>7</v>
      </c>
      <c r="F43" s="20">
        <v>0.5</v>
      </c>
      <c r="G43" t="s">
        <v>22</v>
      </c>
      <c r="H43">
        <v>32</v>
      </c>
      <c r="I43">
        <f t="shared" ref="I43:I55" si="0">IF(E43&lt;5,$F$67,IF(H43&lt;40,$F$68,$F$66))</f>
        <v>100</v>
      </c>
      <c r="K43" s="22"/>
      <c r="L43" s="23" t="s">
        <v>91</v>
      </c>
      <c r="M43" s="7">
        <f>+AVERAGE(F42:F55)</f>
        <v>4.0357142857142856</v>
      </c>
      <c r="N43" s="24" t="s">
        <v>67</v>
      </c>
      <c r="O43" s="2" t="s">
        <v>83</v>
      </c>
    </row>
    <row r="44" spans="2:15" x14ac:dyDescent="0.2">
      <c r="C44" s="11" t="s">
        <v>87</v>
      </c>
      <c r="D44" t="s">
        <v>17</v>
      </c>
      <c r="E44" s="20">
        <v>14</v>
      </c>
      <c r="F44" s="20">
        <v>8.5</v>
      </c>
      <c r="G44" t="s">
        <v>22</v>
      </c>
      <c r="H44">
        <v>33</v>
      </c>
      <c r="I44">
        <f t="shared" si="0"/>
        <v>100</v>
      </c>
      <c r="K44" s="1"/>
      <c r="L44" s="6"/>
    </row>
    <row r="45" spans="2:15" x14ac:dyDescent="0.2">
      <c r="C45" s="11" t="s">
        <v>87</v>
      </c>
      <c r="D45" t="s">
        <v>18</v>
      </c>
      <c r="E45" s="20">
        <v>6</v>
      </c>
      <c r="F45" s="20">
        <v>5</v>
      </c>
      <c r="G45" t="s">
        <v>22</v>
      </c>
      <c r="H45">
        <v>54</v>
      </c>
      <c r="I45">
        <f t="shared" si="0"/>
        <v>115</v>
      </c>
      <c r="K45" s="1"/>
      <c r="L45" s="19" t="s">
        <v>140</v>
      </c>
      <c r="M45" s="20">
        <f>+SUMPRODUCT(E42:E55,F42:F55)/E57</f>
        <v>4.46</v>
      </c>
      <c r="N45" s="2" t="s">
        <v>67</v>
      </c>
      <c r="O45" s="2" t="s">
        <v>84</v>
      </c>
    </row>
    <row r="46" spans="2:15" x14ac:dyDescent="0.2">
      <c r="C46" s="11" t="s">
        <v>87</v>
      </c>
      <c r="D46" t="s">
        <v>12</v>
      </c>
      <c r="E46" s="20">
        <v>6</v>
      </c>
      <c r="F46" s="20">
        <v>2</v>
      </c>
      <c r="G46" t="s">
        <v>22</v>
      </c>
      <c r="H46">
        <v>57</v>
      </c>
      <c r="I46">
        <f t="shared" si="0"/>
        <v>115</v>
      </c>
      <c r="K46" s="1"/>
      <c r="M46" s="13"/>
    </row>
    <row r="47" spans="2:15" x14ac:dyDescent="0.2">
      <c r="C47" s="11" t="s">
        <v>87</v>
      </c>
      <c r="D47" t="s">
        <v>15</v>
      </c>
      <c r="E47" s="20">
        <v>2</v>
      </c>
      <c r="F47" s="20">
        <v>5</v>
      </c>
      <c r="G47" t="s">
        <v>22</v>
      </c>
      <c r="H47">
        <v>50</v>
      </c>
      <c r="I47">
        <f t="shared" si="0"/>
        <v>85</v>
      </c>
      <c r="K47" s="1"/>
    </row>
    <row r="48" spans="2:15" x14ac:dyDescent="0.2">
      <c r="C48" s="11" t="s">
        <v>87</v>
      </c>
      <c r="D48" t="s">
        <v>16</v>
      </c>
      <c r="E48" s="20">
        <v>4</v>
      </c>
      <c r="F48" s="20">
        <v>5</v>
      </c>
      <c r="G48" t="s">
        <v>22</v>
      </c>
      <c r="H48">
        <v>33</v>
      </c>
      <c r="I48">
        <f t="shared" si="0"/>
        <v>85</v>
      </c>
      <c r="K48" s="22"/>
      <c r="L48" s="23" t="s">
        <v>90</v>
      </c>
      <c r="M48" s="7">
        <f>+AVERAGE(H42:H55)</f>
        <v>43.357142857142854</v>
      </c>
      <c r="N48" s="22" t="s">
        <v>79</v>
      </c>
      <c r="O48" s="2" t="s">
        <v>83</v>
      </c>
    </row>
    <row r="49" spans="2:15" x14ac:dyDescent="0.2">
      <c r="C49" s="11" t="s">
        <v>87</v>
      </c>
      <c r="D49" t="s">
        <v>19</v>
      </c>
      <c r="E49" s="20">
        <v>4</v>
      </c>
      <c r="F49" s="20">
        <v>6</v>
      </c>
      <c r="G49" t="s">
        <v>22</v>
      </c>
      <c r="H49">
        <v>42</v>
      </c>
      <c r="I49">
        <f t="shared" si="0"/>
        <v>85</v>
      </c>
      <c r="K49" s="1"/>
    </row>
    <row r="50" spans="2:15" x14ac:dyDescent="0.2">
      <c r="C50" s="11" t="s">
        <v>87</v>
      </c>
      <c r="D50" t="s">
        <v>20</v>
      </c>
      <c r="E50" s="20">
        <v>7</v>
      </c>
      <c r="F50" s="20">
        <v>5</v>
      </c>
      <c r="G50" t="s">
        <v>22</v>
      </c>
      <c r="H50">
        <v>44</v>
      </c>
      <c r="I50">
        <f t="shared" si="0"/>
        <v>115</v>
      </c>
      <c r="K50" s="1"/>
      <c r="L50" s="6" t="s">
        <v>86</v>
      </c>
      <c r="M50" s="20">
        <f>+SUMPRODUCT(E42:E55,H42:H55)/E57</f>
        <v>42.69</v>
      </c>
      <c r="N50" t="s">
        <v>79</v>
      </c>
      <c r="O50" s="2" t="s">
        <v>84</v>
      </c>
    </row>
    <row r="51" spans="2:15" x14ac:dyDescent="0.2">
      <c r="C51" s="11" t="s">
        <v>87</v>
      </c>
      <c r="D51" t="s">
        <v>21</v>
      </c>
      <c r="E51" s="20">
        <v>9</v>
      </c>
      <c r="F51" s="20">
        <v>2</v>
      </c>
      <c r="G51" t="s">
        <v>22</v>
      </c>
      <c r="H51">
        <v>57</v>
      </c>
      <c r="I51">
        <f t="shared" si="0"/>
        <v>115</v>
      </c>
      <c r="K51" s="1"/>
    </row>
    <row r="52" spans="2:15" x14ac:dyDescent="0.2">
      <c r="C52" s="11" t="s">
        <v>87</v>
      </c>
      <c r="D52" t="s">
        <v>10</v>
      </c>
      <c r="E52" s="20">
        <v>2</v>
      </c>
      <c r="F52" s="20">
        <v>1</v>
      </c>
      <c r="G52" t="s">
        <v>22</v>
      </c>
      <c r="H52">
        <v>34</v>
      </c>
      <c r="I52">
        <f t="shared" si="0"/>
        <v>85</v>
      </c>
      <c r="K52" s="1"/>
    </row>
    <row r="53" spans="2:15" x14ac:dyDescent="0.2">
      <c r="C53" s="11" t="s">
        <v>87</v>
      </c>
      <c r="D53" t="s">
        <v>14</v>
      </c>
      <c r="E53" s="20">
        <v>6</v>
      </c>
      <c r="F53" s="20">
        <v>3</v>
      </c>
      <c r="G53" t="s">
        <v>22</v>
      </c>
      <c r="H53">
        <v>39</v>
      </c>
      <c r="I53">
        <f t="shared" si="0"/>
        <v>100</v>
      </c>
      <c r="K53" s="22"/>
      <c r="L53" s="23" t="s">
        <v>88</v>
      </c>
      <c r="M53" s="8">
        <f>+AVERAGE(I42:I55)</f>
        <v>102.14285714285714</v>
      </c>
      <c r="N53" s="24" t="s">
        <v>92</v>
      </c>
      <c r="O53" s="2" t="s">
        <v>93</v>
      </c>
    </row>
    <row r="54" spans="2:15" x14ac:dyDescent="0.2">
      <c r="C54" s="11" t="s">
        <v>87</v>
      </c>
      <c r="D54" t="s">
        <v>8</v>
      </c>
      <c r="E54" s="20">
        <v>5</v>
      </c>
      <c r="F54" s="20">
        <v>3</v>
      </c>
      <c r="G54" t="s">
        <v>22</v>
      </c>
      <c r="H54">
        <v>49</v>
      </c>
      <c r="I54">
        <f t="shared" si="0"/>
        <v>115</v>
      </c>
      <c r="K54" s="1"/>
      <c r="L54" s="6"/>
    </row>
    <row r="55" spans="2:15" x14ac:dyDescent="0.2">
      <c r="C55" s="11" t="s">
        <v>87</v>
      </c>
      <c r="D55" t="s">
        <v>11</v>
      </c>
      <c r="E55" s="20">
        <v>13</v>
      </c>
      <c r="F55" s="20">
        <v>9</v>
      </c>
      <c r="G55" t="s">
        <v>22</v>
      </c>
      <c r="H55">
        <v>48</v>
      </c>
      <c r="I55">
        <f t="shared" si="0"/>
        <v>115</v>
      </c>
      <c r="K55" s="1"/>
      <c r="L55" s="19" t="s">
        <v>89</v>
      </c>
      <c r="M55" s="20">
        <f>+SUMPRODUCT(E42:E55,I42:I55)/E57</f>
        <v>105.1</v>
      </c>
      <c r="N55" s="2" t="s">
        <v>92</v>
      </c>
      <c r="O55" s="2" t="s">
        <v>94</v>
      </c>
    </row>
    <row r="56" spans="2:15" x14ac:dyDescent="0.2">
      <c r="K56" s="1"/>
      <c r="L56" s="1"/>
      <c r="M56" s="1"/>
      <c r="N56" s="1"/>
      <c r="O56" s="1"/>
    </row>
    <row r="57" spans="2:15" x14ac:dyDescent="0.2">
      <c r="C57" s="10" t="s">
        <v>81</v>
      </c>
      <c r="E57">
        <f>+SUM(E42:E55)</f>
        <v>100</v>
      </c>
      <c r="F57" s="5" t="s">
        <v>82</v>
      </c>
      <c r="K57" s="1"/>
      <c r="L57" s="1"/>
      <c r="M57" s="1"/>
      <c r="N57" s="1"/>
      <c r="O57" s="1"/>
    </row>
    <row r="58" spans="2:15" x14ac:dyDescent="0.2">
      <c r="C58" s="21" t="s">
        <v>132</v>
      </c>
      <c r="E58">
        <f>+COUNT(E42:E55)</f>
        <v>14</v>
      </c>
      <c r="F58" s="2" t="s">
        <v>133</v>
      </c>
    </row>
    <row r="59" spans="2:15" x14ac:dyDescent="0.2">
      <c r="C59" s="1"/>
      <c r="F59" s="5"/>
    </row>
    <row r="60" spans="2:15" x14ac:dyDescent="0.2">
      <c r="C60" s="1"/>
    </row>
    <row r="62" spans="2:15" s="4" customFormat="1" x14ac:dyDescent="0.2">
      <c r="B62" s="4" t="s">
        <v>24</v>
      </c>
      <c r="C62" s="4" t="s">
        <v>47</v>
      </c>
    </row>
    <row r="63" spans="2:15" s="4" customFormat="1" x14ac:dyDescent="0.2">
      <c r="C63" s="4" t="s">
        <v>26</v>
      </c>
    </row>
    <row r="64" spans="2:15" x14ac:dyDescent="0.2">
      <c r="C64" s="2"/>
    </row>
    <row r="65" spans="2:9" x14ac:dyDescent="0.2">
      <c r="B65" s="4" t="s">
        <v>56</v>
      </c>
      <c r="C65" s="4" t="s">
        <v>27</v>
      </c>
    </row>
    <row r="66" spans="2:9" x14ac:dyDescent="0.2">
      <c r="B66" s="4"/>
      <c r="C66" s="3" t="s">
        <v>23</v>
      </c>
      <c r="F66">
        <v>115</v>
      </c>
      <c r="G66" s="5" t="s">
        <v>63</v>
      </c>
    </row>
    <row r="67" spans="2:9" x14ac:dyDescent="0.2">
      <c r="B67" s="4"/>
      <c r="C67" s="4" t="s">
        <v>96</v>
      </c>
      <c r="F67" s="20">
        <v>85</v>
      </c>
      <c r="G67" s="5" t="s">
        <v>63</v>
      </c>
    </row>
    <row r="68" spans="2:9" x14ac:dyDescent="0.2">
      <c r="C68" s="9" t="s">
        <v>95</v>
      </c>
      <c r="F68" s="20">
        <v>100</v>
      </c>
      <c r="G68" t="s">
        <v>63</v>
      </c>
    </row>
    <row r="69" spans="2:9" x14ac:dyDescent="0.2">
      <c r="C69" t="s">
        <v>28</v>
      </c>
      <c r="F69">
        <v>326000</v>
      </c>
      <c r="G69" t="s">
        <v>29</v>
      </c>
    </row>
    <row r="70" spans="2:9" x14ac:dyDescent="0.2">
      <c r="C70" t="s">
        <v>30</v>
      </c>
      <c r="F70">
        <v>75000</v>
      </c>
      <c r="G70" t="s">
        <v>29</v>
      </c>
    </row>
    <row r="71" spans="2:9" x14ac:dyDescent="0.2">
      <c r="C71" t="s">
        <v>31</v>
      </c>
      <c r="F71">
        <v>3</v>
      </c>
      <c r="G71" t="s">
        <v>32</v>
      </c>
    </row>
    <row r="72" spans="2:9" x14ac:dyDescent="0.2">
      <c r="C72" t="s">
        <v>33</v>
      </c>
      <c r="F72">
        <v>97</v>
      </c>
      <c r="G72" t="s">
        <v>34</v>
      </c>
    </row>
    <row r="73" spans="2:9" x14ac:dyDescent="0.2">
      <c r="C73" t="s">
        <v>35</v>
      </c>
      <c r="F73">
        <v>32</v>
      </c>
      <c r="G73" t="s">
        <v>36</v>
      </c>
    </row>
    <row r="74" spans="2:9" x14ac:dyDescent="0.2">
      <c r="C74" t="s">
        <v>37</v>
      </c>
      <c r="F74" t="s">
        <v>38</v>
      </c>
      <c r="G74" t="s">
        <v>38</v>
      </c>
    </row>
    <row r="75" spans="2:9" x14ac:dyDescent="0.2">
      <c r="C75" t="s">
        <v>39</v>
      </c>
      <c r="F75">
        <v>58</v>
      </c>
      <c r="G75" t="s">
        <v>40</v>
      </c>
      <c r="H75">
        <v>1.1000000000000001</v>
      </c>
      <c r="I75" s="5" t="s">
        <v>85</v>
      </c>
    </row>
    <row r="76" spans="2:9" x14ac:dyDescent="0.2">
      <c r="C76" t="s">
        <v>41</v>
      </c>
      <c r="F76">
        <v>0.57999999999999996</v>
      </c>
      <c r="G76" t="s">
        <v>40</v>
      </c>
      <c r="H76">
        <v>3</v>
      </c>
      <c r="I76" s="5" t="s">
        <v>85</v>
      </c>
    </row>
    <row r="77" spans="2:9" x14ac:dyDescent="0.2">
      <c r="C77" t="s">
        <v>42</v>
      </c>
      <c r="F77">
        <v>10</v>
      </c>
      <c r="G77" t="s">
        <v>43</v>
      </c>
    </row>
    <row r="78" spans="2:9" x14ac:dyDescent="0.2">
      <c r="C78" t="s">
        <v>44</v>
      </c>
      <c r="F78">
        <v>3000</v>
      </c>
      <c r="G78" t="s">
        <v>45</v>
      </c>
    </row>
    <row r="79" spans="2:9" x14ac:dyDescent="0.2">
      <c r="C79" t="s">
        <v>46</v>
      </c>
      <c r="F79">
        <v>300</v>
      </c>
      <c r="G79" t="s">
        <v>45</v>
      </c>
    </row>
    <row r="82" spans="2:7" x14ac:dyDescent="0.2">
      <c r="B82" s="4" t="s">
        <v>56</v>
      </c>
      <c r="C82" s="4" t="s">
        <v>48</v>
      </c>
    </row>
    <row r="83" spans="2:7" x14ac:dyDescent="0.2">
      <c r="C83" t="s">
        <v>28</v>
      </c>
      <c r="F83">
        <v>79000</v>
      </c>
      <c r="G83" t="s">
        <v>29</v>
      </c>
    </row>
    <row r="84" spans="2:7" x14ac:dyDescent="0.2">
      <c r="C84" t="s">
        <v>30</v>
      </c>
      <c r="F84">
        <v>0</v>
      </c>
      <c r="G84" t="s">
        <v>29</v>
      </c>
    </row>
    <row r="85" spans="2:7" x14ac:dyDescent="0.2">
      <c r="C85" t="s">
        <v>31</v>
      </c>
      <c r="F85">
        <v>3</v>
      </c>
      <c r="G85" t="s">
        <v>32</v>
      </c>
    </row>
    <row r="86" spans="2:7" x14ac:dyDescent="0.2">
      <c r="C86" t="s">
        <v>33</v>
      </c>
      <c r="F86">
        <v>0</v>
      </c>
      <c r="G86" t="s">
        <v>34</v>
      </c>
    </row>
    <row r="87" spans="2:7" x14ac:dyDescent="0.2">
      <c r="C87" t="s">
        <v>35</v>
      </c>
      <c r="F87">
        <v>10</v>
      </c>
      <c r="G87" t="s">
        <v>49</v>
      </c>
    </row>
    <row r="88" spans="2:7" x14ac:dyDescent="0.2">
      <c r="C88" t="s">
        <v>37</v>
      </c>
      <c r="F88" t="s">
        <v>38</v>
      </c>
      <c r="G88" t="s">
        <v>38</v>
      </c>
    </row>
    <row r="89" spans="2:7" x14ac:dyDescent="0.2">
      <c r="C89" t="s">
        <v>39</v>
      </c>
      <c r="F89">
        <v>0</v>
      </c>
      <c r="G89" t="s">
        <v>50</v>
      </c>
    </row>
    <row r="90" spans="2:7" x14ac:dyDescent="0.2">
      <c r="C90" t="s">
        <v>41</v>
      </c>
      <c r="F90">
        <v>0</v>
      </c>
      <c r="G90" t="s">
        <v>50</v>
      </c>
    </row>
    <row r="91" spans="2:7" x14ac:dyDescent="0.2">
      <c r="C91" t="s">
        <v>42</v>
      </c>
      <c r="F91">
        <v>8</v>
      </c>
      <c r="G91" t="s">
        <v>43</v>
      </c>
    </row>
    <row r="92" spans="2:7" x14ac:dyDescent="0.2">
      <c r="C92" t="s">
        <v>44</v>
      </c>
      <c r="F92">
        <v>2500</v>
      </c>
      <c r="G92" t="s">
        <v>51</v>
      </c>
    </row>
    <row r="93" spans="2:7" x14ac:dyDescent="0.2">
      <c r="C93" t="s">
        <v>46</v>
      </c>
      <c r="F93">
        <v>312.5</v>
      </c>
      <c r="G93" t="s">
        <v>51</v>
      </c>
    </row>
    <row r="96" spans="2:7" x14ac:dyDescent="0.2">
      <c r="B96" s="4" t="s">
        <v>61</v>
      </c>
      <c r="C96" s="4" t="s">
        <v>52</v>
      </c>
    </row>
    <row r="97" spans="2:7" x14ac:dyDescent="0.2">
      <c r="C97" t="s">
        <v>28</v>
      </c>
      <c r="F97">
        <v>120000</v>
      </c>
      <c r="G97" t="s">
        <v>29</v>
      </c>
    </row>
    <row r="98" spans="2:7" x14ac:dyDescent="0.2">
      <c r="C98" t="s">
        <v>30</v>
      </c>
      <c r="F98">
        <v>20000</v>
      </c>
      <c r="G98" t="s">
        <v>29</v>
      </c>
    </row>
    <row r="99" spans="2:7" x14ac:dyDescent="0.2">
      <c r="C99" t="s">
        <v>31</v>
      </c>
      <c r="F99">
        <v>3</v>
      </c>
      <c r="G99" t="s">
        <v>32</v>
      </c>
    </row>
    <row r="100" spans="2:7" x14ac:dyDescent="0.2">
      <c r="C100" t="s">
        <v>33</v>
      </c>
      <c r="F100">
        <v>439</v>
      </c>
      <c r="G100" t="s">
        <v>34</v>
      </c>
    </row>
    <row r="101" spans="2:7" x14ac:dyDescent="0.2">
      <c r="C101" t="s">
        <v>35</v>
      </c>
      <c r="F101">
        <v>7.4000000953674316</v>
      </c>
      <c r="G101" t="s">
        <v>36</v>
      </c>
    </row>
    <row r="102" spans="2:7" x14ac:dyDescent="0.2">
      <c r="C102" t="s">
        <v>37</v>
      </c>
      <c r="F102" t="s">
        <v>38</v>
      </c>
      <c r="G102" t="s">
        <v>38</v>
      </c>
    </row>
    <row r="103" spans="2:7" x14ac:dyDescent="0.2">
      <c r="C103" t="s">
        <v>39</v>
      </c>
      <c r="F103">
        <v>11.899999618530273</v>
      </c>
      <c r="G103" t="s">
        <v>40</v>
      </c>
    </row>
    <row r="104" spans="2:7" x14ac:dyDescent="0.2">
      <c r="C104" t="s">
        <v>41</v>
      </c>
      <c r="F104">
        <v>0.11900000274181366</v>
      </c>
      <c r="G104" t="s">
        <v>40</v>
      </c>
    </row>
    <row r="105" spans="2:7" x14ac:dyDescent="0.2">
      <c r="C105" t="s">
        <v>42</v>
      </c>
      <c r="F105">
        <v>12</v>
      </c>
      <c r="G105" t="s">
        <v>43</v>
      </c>
    </row>
    <row r="106" spans="2:7" x14ac:dyDescent="0.2">
      <c r="C106" t="s">
        <v>44</v>
      </c>
      <c r="F106">
        <v>10000</v>
      </c>
      <c r="G106" t="s">
        <v>45</v>
      </c>
    </row>
    <row r="107" spans="2:7" x14ac:dyDescent="0.2">
      <c r="C107" t="s">
        <v>46</v>
      </c>
      <c r="F107">
        <v>833.33333333333337</v>
      </c>
      <c r="G107" t="s">
        <v>45</v>
      </c>
    </row>
    <row r="110" spans="2:7" x14ac:dyDescent="0.2">
      <c r="B110" s="4" t="s">
        <v>61</v>
      </c>
      <c r="C110" s="4" t="s">
        <v>53</v>
      </c>
    </row>
    <row r="111" spans="2:7" x14ac:dyDescent="0.2">
      <c r="C111" t="s">
        <v>28</v>
      </c>
      <c r="F111">
        <v>70000</v>
      </c>
      <c r="G111" t="s">
        <v>29</v>
      </c>
    </row>
    <row r="112" spans="2:7" x14ac:dyDescent="0.2">
      <c r="C112" t="s">
        <v>30</v>
      </c>
      <c r="F112">
        <v>0</v>
      </c>
      <c r="G112" t="s">
        <v>29</v>
      </c>
    </row>
    <row r="113" spans="3:8" x14ac:dyDescent="0.2">
      <c r="C113" t="s">
        <v>31</v>
      </c>
      <c r="F113">
        <v>3</v>
      </c>
      <c r="G113" t="s">
        <v>32</v>
      </c>
    </row>
    <row r="114" spans="3:8" x14ac:dyDescent="0.2">
      <c r="C114" t="s">
        <v>33</v>
      </c>
      <c r="F114">
        <v>41</v>
      </c>
      <c r="G114" t="s">
        <v>34</v>
      </c>
    </row>
    <row r="115" spans="3:8" x14ac:dyDescent="0.2">
      <c r="C115" t="s">
        <v>35</v>
      </c>
      <c r="F115">
        <v>0.20000000298023224</v>
      </c>
      <c r="G115" t="s">
        <v>54</v>
      </c>
    </row>
    <row r="116" spans="3:8" x14ac:dyDescent="0.2">
      <c r="C116" t="s">
        <v>37</v>
      </c>
      <c r="F116" t="s">
        <v>38</v>
      </c>
      <c r="G116" t="s">
        <v>38</v>
      </c>
    </row>
    <row r="117" spans="3:8" x14ac:dyDescent="0.2">
      <c r="C117" t="s">
        <v>39</v>
      </c>
      <c r="F117">
        <v>0</v>
      </c>
      <c r="G117" t="s">
        <v>50</v>
      </c>
    </row>
    <row r="118" spans="3:8" x14ac:dyDescent="0.2">
      <c r="C118" t="s">
        <v>41</v>
      </c>
      <c r="F118">
        <v>0</v>
      </c>
      <c r="G118" t="s">
        <v>50</v>
      </c>
    </row>
    <row r="119" spans="3:8" x14ac:dyDescent="0.2">
      <c r="C119" t="s">
        <v>42</v>
      </c>
      <c r="F119">
        <v>10</v>
      </c>
      <c r="G119" t="s">
        <v>43</v>
      </c>
    </row>
    <row r="120" spans="3:8" x14ac:dyDescent="0.2">
      <c r="C120" t="s">
        <v>44</v>
      </c>
      <c r="F120">
        <v>121000</v>
      </c>
      <c r="G120" t="s">
        <v>55</v>
      </c>
    </row>
    <row r="121" spans="3:8" x14ac:dyDescent="0.2">
      <c r="C121" t="s">
        <v>46</v>
      </c>
      <c r="F121">
        <v>12100</v>
      </c>
      <c r="G121" t="s">
        <v>55</v>
      </c>
    </row>
    <row r="124" spans="3:8" x14ac:dyDescent="0.2">
      <c r="C124" t="s">
        <v>57</v>
      </c>
    </row>
    <row r="125" spans="3:8" x14ac:dyDescent="0.2">
      <c r="C125" t="s">
        <v>58</v>
      </c>
    </row>
    <row r="127" spans="3:8" x14ac:dyDescent="0.2">
      <c r="C127" t="s">
        <v>60</v>
      </c>
      <c r="G127">
        <v>85</v>
      </c>
      <c r="H127" t="s">
        <v>59</v>
      </c>
    </row>
    <row r="128" spans="3:8" x14ac:dyDescent="0.2">
      <c r="C128" t="s">
        <v>62</v>
      </c>
      <c r="G128">
        <v>85</v>
      </c>
      <c r="H128" t="s">
        <v>59</v>
      </c>
    </row>
    <row r="132" spans="2:10" x14ac:dyDescent="0.2">
      <c r="B132" s="2" t="s">
        <v>73</v>
      </c>
      <c r="C132" t="s">
        <v>134</v>
      </c>
    </row>
    <row r="134" spans="2:10" x14ac:dyDescent="0.2">
      <c r="C134" t="s">
        <v>135</v>
      </c>
      <c r="F134" s="20">
        <v>6</v>
      </c>
      <c r="G134" t="s">
        <v>136</v>
      </c>
    </row>
    <row r="135" spans="2:10" x14ac:dyDescent="0.2">
      <c r="C135" t="s">
        <v>137</v>
      </c>
      <c r="F135" s="20">
        <v>15</v>
      </c>
      <c r="G135" t="s">
        <v>138</v>
      </c>
    </row>
    <row r="136" spans="2:10" x14ac:dyDescent="0.2">
      <c r="C136" t="s">
        <v>139</v>
      </c>
      <c r="F136">
        <f>+F134*F135</f>
        <v>90</v>
      </c>
      <c r="G136" t="s">
        <v>138</v>
      </c>
    </row>
    <row r="138" spans="2:10" x14ac:dyDescent="0.2">
      <c r="C138" s="2" t="s">
        <v>141</v>
      </c>
      <c r="E138" s="25">
        <v>0.2</v>
      </c>
      <c r="F138">
        <f>F136*E138</f>
        <v>18</v>
      </c>
      <c r="G138" s="2" t="s">
        <v>138</v>
      </c>
    </row>
    <row r="140" spans="2:10" x14ac:dyDescent="0.2">
      <c r="C140" s="2" t="s">
        <v>142</v>
      </c>
      <c r="F140">
        <f>F136-F138</f>
        <v>72</v>
      </c>
      <c r="G140" s="2" t="s">
        <v>138</v>
      </c>
    </row>
    <row r="142" spans="2:10" x14ac:dyDescent="0.2">
      <c r="C142" s="2" t="s">
        <v>143</v>
      </c>
      <c r="F142">
        <f>100*43.36</f>
        <v>4336</v>
      </c>
      <c r="G142" s="2" t="s">
        <v>146</v>
      </c>
      <c r="H142" s="2" t="s">
        <v>144</v>
      </c>
      <c r="I142" s="13">
        <f>M48</f>
        <v>43.357142857142854</v>
      </c>
      <c r="J142" s="2" t="s">
        <v>145</v>
      </c>
    </row>
    <row r="144" spans="2:10" x14ac:dyDescent="0.2">
      <c r="C144" s="2" t="s">
        <v>147</v>
      </c>
      <c r="F144" s="26">
        <f>M53</f>
        <v>102.14285714285714</v>
      </c>
      <c r="G144" s="2" t="s">
        <v>148</v>
      </c>
    </row>
    <row r="146" spans="2:10" x14ac:dyDescent="0.2">
      <c r="C146" s="2" t="s">
        <v>149</v>
      </c>
      <c r="F146" s="13">
        <f>F142/F144</f>
        <v>42.450349650349651</v>
      </c>
      <c r="G146" s="2" t="s">
        <v>138</v>
      </c>
    </row>
    <row r="148" spans="2:10" x14ac:dyDescent="0.2">
      <c r="C148" s="2" t="s">
        <v>150</v>
      </c>
      <c r="E148" s="25">
        <v>0.2</v>
      </c>
      <c r="F148" s="13">
        <f>F146*0.2</f>
        <v>8.4900699300699305</v>
      </c>
      <c r="G148" s="2" t="s">
        <v>138</v>
      </c>
    </row>
    <row r="150" spans="2:10" x14ac:dyDescent="0.2">
      <c r="C150" s="2" t="s">
        <v>151</v>
      </c>
      <c r="F150" s="13">
        <f>F146+F148</f>
        <v>50.940419580419579</v>
      </c>
      <c r="G150" s="2" t="s">
        <v>138</v>
      </c>
      <c r="I150" s="2" t="s">
        <v>152</v>
      </c>
    </row>
    <row r="152" spans="2:10" x14ac:dyDescent="0.2">
      <c r="B152" s="2" t="s">
        <v>64</v>
      </c>
      <c r="C152" t="s">
        <v>65</v>
      </c>
    </row>
    <row r="153" spans="2:10" x14ac:dyDescent="0.2">
      <c r="C153" t="s">
        <v>66</v>
      </c>
    </row>
    <row r="155" spans="2:10" x14ac:dyDescent="0.2">
      <c r="C155" s="2" t="s">
        <v>153</v>
      </c>
      <c r="F155">
        <v>40</v>
      </c>
      <c r="G155" s="2" t="s">
        <v>154</v>
      </c>
    </row>
    <row r="156" spans="2:10" x14ac:dyDescent="0.2">
      <c r="C156" s="2" t="s">
        <v>155</v>
      </c>
      <c r="F156">
        <v>0.4</v>
      </c>
      <c r="G156" s="2" t="s">
        <v>156</v>
      </c>
    </row>
    <row r="158" spans="2:10" x14ac:dyDescent="0.2">
      <c r="C158" s="2" t="s">
        <v>157</v>
      </c>
      <c r="F158">
        <f>F155*F156</f>
        <v>16</v>
      </c>
      <c r="G158" s="2" t="s">
        <v>146</v>
      </c>
    </row>
    <row r="160" spans="2:10" x14ac:dyDescent="0.2">
      <c r="C160" s="2" t="s">
        <v>158</v>
      </c>
      <c r="F160" s="27">
        <f>16/102</f>
        <v>0.15686274509803921</v>
      </c>
      <c r="G160" s="2" t="s">
        <v>159</v>
      </c>
      <c r="I160">
        <f>1/F160</f>
        <v>6.375</v>
      </c>
      <c r="J160" s="2" t="s">
        <v>164</v>
      </c>
    </row>
    <row r="161" spans="2:19" x14ac:dyDescent="0.2">
      <c r="C161" s="2" t="s">
        <v>160</v>
      </c>
      <c r="D161">
        <v>40</v>
      </c>
      <c r="E161">
        <v>20</v>
      </c>
      <c r="F161">
        <f>D161/E161</f>
        <v>2</v>
      </c>
      <c r="G161" s="2" t="s">
        <v>161</v>
      </c>
      <c r="I161" s="2" t="s">
        <v>167</v>
      </c>
    </row>
    <row r="162" spans="2:19" x14ac:dyDescent="0.2">
      <c r="C162" s="2" t="s">
        <v>162</v>
      </c>
      <c r="F162">
        <f>0.15</f>
        <v>0.15</v>
      </c>
      <c r="G162" s="2" t="s">
        <v>161</v>
      </c>
    </row>
    <row r="163" spans="2:19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</row>
    <row r="164" spans="2:19" x14ac:dyDescent="0.2">
      <c r="C164" s="18"/>
      <c r="D164" s="18"/>
      <c r="E164" s="18"/>
      <c r="F164" s="28">
        <f>SUM(F160:F162)</f>
        <v>2.306862745098039</v>
      </c>
      <c r="G164" s="30" t="s">
        <v>163</v>
      </c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</row>
    <row r="165" spans="2:19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</row>
    <row r="166" spans="2:19" x14ac:dyDescent="0.2">
      <c r="C166" s="29" t="s">
        <v>165</v>
      </c>
      <c r="D166" s="18"/>
      <c r="E166" s="18"/>
      <c r="F166" s="31">
        <f>I160*F164</f>
        <v>14.706249999999999</v>
      </c>
      <c r="G166" s="30" t="s">
        <v>166</v>
      </c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</row>
    <row r="167" spans="2:19" x14ac:dyDescent="0.2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</row>
    <row r="168" spans="2:19" x14ac:dyDescent="0.2">
      <c r="C168" s="29" t="s">
        <v>168</v>
      </c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</row>
    <row r="170" spans="2:19" x14ac:dyDescent="0.2">
      <c r="B170" s="2" t="s">
        <v>68</v>
      </c>
      <c r="C170" t="s">
        <v>69</v>
      </c>
    </row>
    <row r="171" spans="2:19" x14ac:dyDescent="0.2">
      <c r="B171" s="5"/>
    </row>
    <row r="172" spans="2:19" x14ac:dyDescent="0.2">
      <c r="B172" s="5"/>
    </row>
    <row r="173" spans="2:19" x14ac:dyDescent="0.2">
      <c r="B173" s="5"/>
    </row>
    <row r="175" spans="2:19" x14ac:dyDescent="0.2">
      <c r="B175" s="2" t="s">
        <v>70</v>
      </c>
      <c r="C175" s="4" t="s">
        <v>80</v>
      </c>
      <c r="G175" s="2" t="s">
        <v>171</v>
      </c>
    </row>
    <row r="176" spans="2:19" x14ac:dyDescent="0.2">
      <c r="B176" s="2"/>
      <c r="E176" s="2" t="s">
        <v>172</v>
      </c>
      <c r="G176" s="2" t="s">
        <v>173</v>
      </c>
    </row>
    <row r="177" spans="2:11" x14ac:dyDescent="0.2">
      <c r="B177" s="2"/>
      <c r="C177" s="4" t="s">
        <v>170</v>
      </c>
    </row>
    <row r="178" spans="2:11" x14ac:dyDescent="0.2">
      <c r="B178" s="2"/>
      <c r="C178" s="4" t="s">
        <v>169</v>
      </c>
      <c r="E178">
        <v>0</v>
      </c>
      <c r="F178" s="2" t="s">
        <v>174</v>
      </c>
      <c r="G178">
        <f>(326000-75000)/10</f>
        <v>25100</v>
      </c>
      <c r="H178" s="2" t="s">
        <v>174</v>
      </c>
    </row>
    <row r="179" spans="2:11" x14ac:dyDescent="0.2">
      <c r="B179" s="2"/>
      <c r="C179" s="4" t="s">
        <v>175</v>
      </c>
      <c r="D179" s="25">
        <v>0.03</v>
      </c>
      <c r="E179">
        <v>0</v>
      </c>
      <c r="F179" s="2" t="s">
        <v>174</v>
      </c>
      <c r="G179">
        <f>(326000+75000)/2*D179</f>
        <v>6015</v>
      </c>
      <c r="H179" s="2" t="s">
        <v>174</v>
      </c>
      <c r="I179" s="2" t="s">
        <v>176</v>
      </c>
    </row>
    <row r="180" spans="2:11" x14ac:dyDescent="0.2">
      <c r="B180" s="2"/>
      <c r="C180" s="4" t="s">
        <v>177</v>
      </c>
      <c r="E180">
        <v>0</v>
      </c>
      <c r="F180" s="2" t="s">
        <v>174</v>
      </c>
      <c r="G180">
        <v>97</v>
      </c>
      <c r="H180" s="2" t="s">
        <v>174</v>
      </c>
    </row>
    <row r="181" spans="2:11" x14ac:dyDescent="0.2">
      <c r="B181" s="2"/>
      <c r="C181" s="4"/>
      <c r="F181" s="2"/>
    </row>
    <row r="182" spans="2:11" x14ac:dyDescent="0.2">
      <c r="B182" s="2"/>
      <c r="C182" s="4" t="s">
        <v>178</v>
      </c>
      <c r="E182">
        <f>SUM(E178:E180)</f>
        <v>0</v>
      </c>
      <c r="F182" s="2" t="s">
        <v>174</v>
      </c>
      <c r="G182">
        <f>SUM(G178:G180)</f>
        <v>31212</v>
      </c>
      <c r="H182" s="2" t="s">
        <v>174</v>
      </c>
    </row>
    <row r="183" spans="2:11" x14ac:dyDescent="0.2">
      <c r="B183" s="2"/>
      <c r="C183" s="4"/>
      <c r="G183" s="13">
        <f>G182/201</f>
        <v>155.28358208955223</v>
      </c>
      <c r="H183" s="2" t="s">
        <v>59</v>
      </c>
    </row>
    <row r="184" spans="2:11" x14ac:dyDescent="0.2">
      <c r="B184" s="2"/>
      <c r="C184" s="4" t="s">
        <v>179</v>
      </c>
    </row>
    <row r="185" spans="2:11" x14ac:dyDescent="0.2">
      <c r="B185" s="2"/>
      <c r="C185" s="4"/>
    </row>
    <row r="186" spans="2:11" x14ac:dyDescent="0.2">
      <c r="B186" s="2"/>
      <c r="C186" s="4" t="s">
        <v>180</v>
      </c>
      <c r="E186">
        <f>58*1.1+0.58*3</f>
        <v>65.540000000000006</v>
      </c>
      <c r="F186" s="2" t="s">
        <v>59</v>
      </c>
      <c r="G186">
        <f>E186</f>
        <v>65.540000000000006</v>
      </c>
      <c r="H186" s="2" t="s">
        <v>59</v>
      </c>
    </row>
    <row r="187" spans="2:11" x14ac:dyDescent="0.2">
      <c r="B187" s="2"/>
      <c r="C187" s="4" t="s">
        <v>181</v>
      </c>
      <c r="E187">
        <v>32</v>
      </c>
      <c r="F187" s="2" t="s">
        <v>59</v>
      </c>
      <c r="G187">
        <v>32</v>
      </c>
      <c r="H187" s="2" t="s">
        <v>59</v>
      </c>
    </row>
    <row r="188" spans="2:11" x14ac:dyDescent="0.2">
      <c r="B188" s="2"/>
      <c r="C188" s="4"/>
    </row>
    <row r="189" spans="2:11" x14ac:dyDescent="0.2">
      <c r="B189" s="2"/>
      <c r="C189" s="4" t="s">
        <v>182</v>
      </c>
      <c r="E189">
        <f>E187+E186</f>
        <v>97.54</v>
      </c>
      <c r="F189" s="2" t="s">
        <v>59</v>
      </c>
      <c r="G189" s="13">
        <f>G187+G186+G183</f>
        <v>252.82358208955225</v>
      </c>
      <c r="H189" s="2" t="s">
        <v>59</v>
      </c>
      <c r="I189">
        <f>150+51</f>
        <v>201</v>
      </c>
      <c r="J189" s="2" t="s">
        <v>183</v>
      </c>
    </row>
    <row r="191" spans="2:11" x14ac:dyDescent="0.2">
      <c r="C191" s="4" t="s">
        <v>71</v>
      </c>
      <c r="H191" s="2" t="s">
        <v>184</v>
      </c>
      <c r="J191">
        <v>200</v>
      </c>
      <c r="K191" s="2" t="s">
        <v>185</v>
      </c>
    </row>
    <row r="192" spans="2:11" x14ac:dyDescent="0.2">
      <c r="C192" s="4"/>
    </row>
    <row r="193" spans="3:10" x14ac:dyDescent="0.2">
      <c r="C193" s="4" t="s">
        <v>170</v>
      </c>
    </row>
    <row r="194" spans="3:10" x14ac:dyDescent="0.2">
      <c r="C194" s="4" t="s">
        <v>169</v>
      </c>
      <c r="E194">
        <v>0</v>
      </c>
      <c r="F194" s="2" t="s">
        <v>174</v>
      </c>
      <c r="G194">
        <f>(79000)/8</f>
        <v>9875</v>
      </c>
      <c r="H194" s="2" t="s">
        <v>186</v>
      </c>
    </row>
    <row r="195" spans="3:10" x14ac:dyDescent="0.2">
      <c r="C195" s="4" t="s">
        <v>175</v>
      </c>
      <c r="E195">
        <v>0</v>
      </c>
      <c r="F195" s="2" t="s">
        <v>174</v>
      </c>
      <c r="G195">
        <f>(79000/2)*0.03</f>
        <v>1185</v>
      </c>
      <c r="H195" s="2" t="s">
        <v>186</v>
      </c>
    </row>
    <row r="196" spans="3:10" x14ac:dyDescent="0.2">
      <c r="C196" s="4" t="s">
        <v>177</v>
      </c>
      <c r="E196">
        <v>0</v>
      </c>
      <c r="F196" s="2" t="s">
        <v>174</v>
      </c>
      <c r="G196">
        <v>0</v>
      </c>
      <c r="H196" s="2" t="s">
        <v>186</v>
      </c>
    </row>
    <row r="197" spans="3:10" x14ac:dyDescent="0.2">
      <c r="C197" s="4"/>
    </row>
    <row r="198" spans="3:10" x14ac:dyDescent="0.2">
      <c r="C198" s="4" t="s">
        <v>178</v>
      </c>
      <c r="E198">
        <v>0</v>
      </c>
      <c r="F198" s="2" t="s">
        <v>174</v>
      </c>
      <c r="G198">
        <f>SUM(G194:G196)</f>
        <v>11060</v>
      </c>
      <c r="H198" s="2" t="s">
        <v>186</v>
      </c>
    </row>
    <row r="199" spans="3:10" x14ac:dyDescent="0.2">
      <c r="C199" s="4"/>
      <c r="G199" s="13">
        <f>G198/300</f>
        <v>36.866666666666667</v>
      </c>
      <c r="H199" s="2" t="s">
        <v>187</v>
      </c>
    </row>
    <row r="200" spans="3:10" x14ac:dyDescent="0.2">
      <c r="C200" s="4" t="s">
        <v>179</v>
      </c>
    </row>
    <row r="201" spans="3:10" x14ac:dyDescent="0.2">
      <c r="C201" s="4"/>
    </row>
    <row r="202" spans="3:10" x14ac:dyDescent="0.2">
      <c r="C202" s="4" t="s">
        <v>180</v>
      </c>
    </row>
    <row r="203" spans="3:10" x14ac:dyDescent="0.2">
      <c r="C203" s="4" t="s">
        <v>181</v>
      </c>
      <c r="E203">
        <v>10</v>
      </c>
      <c r="F203" s="2" t="s">
        <v>187</v>
      </c>
      <c r="G203">
        <v>10</v>
      </c>
      <c r="H203" s="2" t="s">
        <v>187</v>
      </c>
    </row>
    <row r="204" spans="3:10" x14ac:dyDescent="0.2">
      <c r="C204" s="4"/>
    </row>
    <row r="205" spans="3:10" x14ac:dyDescent="0.2">
      <c r="C205" s="4" t="s">
        <v>182</v>
      </c>
      <c r="E205">
        <f>E203</f>
        <v>10</v>
      </c>
      <c r="F205" s="2" t="s">
        <v>187</v>
      </c>
      <c r="G205" s="13">
        <f>G203+G199</f>
        <v>46.866666666666667</v>
      </c>
      <c r="H205" s="2" t="s">
        <v>187</v>
      </c>
    </row>
    <row r="207" spans="3:10" x14ac:dyDescent="0.2">
      <c r="C207" s="4" t="s">
        <v>72</v>
      </c>
      <c r="I207" s="2" t="s">
        <v>189</v>
      </c>
    </row>
    <row r="208" spans="3:10" x14ac:dyDescent="0.2">
      <c r="C208" s="4"/>
      <c r="I208">
        <v>5000</v>
      </c>
      <c r="J208" s="2" t="s">
        <v>190</v>
      </c>
    </row>
    <row r="209" spans="3:10" x14ac:dyDescent="0.2">
      <c r="C209" s="4" t="s">
        <v>170</v>
      </c>
    </row>
    <row r="210" spans="3:10" x14ac:dyDescent="0.2">
      <c r="C210" s="4" t="s">
        <v>169</v>
      </c>
      <c r="E210">
        <v>0</v>
      </c>
      <c r="F210" s="2" t="s">
        <v>174</v>
      </c>
      <c r="G210">
        <f>70000/10</f>
        <v>7000</v>
      </c>
      <c r="H210" s="2" t="s">
        <v>174</v>
      </c>
      <c r="I210">
        <f>F142</f>
        <v>4336</v>
      </c>
      <c r="J210" s="2" t="s">
        <v>191</v>
      </c>
    </row>
    <row r="211" spans="3:10" x14ac:dyDescent="0.2">
      <c r="C211" s="4" t="s">
        <v>175</v>
      </c>
      <c r="E211">
        <v>0</v>
      </c>
      <c r="F211" s="2" t="s">
        <v>174</v>
      </c>
      <c r="G211">
        <f>70000/2*0.03</f>
        <v>1050</v>
      </c>
      <c r="H211" s="2" t="s">
        <v>174</v>
      </c>
      <c r="I211">
        <f>I210/4</f>
        <v>1084</v>
      </c>
      <c r="J211" s="2" t="s">
        <v>192</v>
      </c>
    </row>
    <row r="212" spans="3:10" x14ac:dyDescent="0.2">
      <c r="C212" s="4" t="s">
        <v>177</v>
      </c>
      <c r="E212">
        <v>0</v>
      </c>
      <c r="F212" s="2" t="s">
        <v>174</v>
      </c>
      <c r="G212">
        <v>41</v>
      </c>
      <c r="H212" s="2" t="s">
        <v>174</v>
      </c>
    </row>
    <row r="213" spans="3:10" x14ac:dyDescent="0.2">
      <c r="C213" s="4"/>
      <c r="I213">
        <f>I208+I211</f>
        <v>6084</v>
      </c>
      <c r="J213" s="2" t="s">
        <v>193</v>
      </c>
    </row>
    <row r="214" spans="3:10" x14ac:dyDescent="0.2">
      <c r="C214" s="4" t="s">
        <v>178</v>
      </c>
      <c r="E214">
        <v>0</v>
      </c>
      <c r="F214" s="2" t="s">
        <v>174</v>
      </c>
      <c r="G214">
        <f>SUM(G210:G212)</f>
        <v>8091</v>
      </c>
      <c r="H214" s="2" t="s">
        <v>174</v>
      </c>
    </row>
    <row r="215" spans="3:10" x14ac:dyDescent="0.2">
      <c r="C215" s="4"/>
      <c r="G215" s="13">
        <f>G214/I213</f>
        <v>1.3298816568047338</v>
      </c>
      <c r="H215" s="2" t="s">
        <v>188</v>
      </c>
    </row>
    <row r="216" spans="3:10" x14ac:dyDescent="0.2">
      <c r="C216" s="4" t="s">
        <v>179</v>
      </c>
    </row>
    <row r="217" spans="3:10" x14ac:dyDescent="0.2">
      <c r="C217" s="4"/>
    </row>
    <row r="218" spans="3:10" x14ac:dyDescent="0.2">
      <c r="C218" s="4" t="s">
        <v>180</v>
      </c>
    </row>
    <row r="219" spans="3:10" x14ac:dyDescent="0.2">
      <c r="C219" s="4" t="s">
        <v>181</v>
      </c>
      <c r="E219">
        <v>0.2</v>
      </c>
      <c r="F219" s="2" t="s">
        <v>188</v>
      </c>
      <c r="G219">
        <v>0.2</v>
      </c>
      <c r="H219" s="2" t="s">
        <v>188</v>
      </c>
    </row>
    <row r="220" spans="3:10" x14ac:dyDescent="0.2">
      <c r="C220" s="4"/>
    </row>
    <row r="221" spans="3:10" x14ac:dyDescent="0.2">
      <c r="C221" s="4" t="s">
        <v>182</v>
      </c>
      <c r="E221">
        <f>E219</f>
        <v>0.2</v>
      </c>
      <c r="F221" s="2" t="s">
        <v>188</v>
      </c>
      <c r="G221" s="13">
        <f>G219+G215</f>
        <v>1.5298816568047338</v>
      </c>
      <c r="H221" s="2" t="s">
        <v>188</v>
      </c>
    </row>
    <row r="224" spans="3:10" x14ac:dyDescent="0.2">
      <c r="C224" s="2" t="s">
        <v>194</v>
      </c>
      <c r="E224" s="2" t="s">
        <v>195</v>
      </c>
    </row>
    <row r="225" spans="3:9" x14ac:dyDescent="0.2">
      <c r="E225" s="2" t="s">
        <v>196</v>
      </c>
      <c r="G225" s="13">
        <f>10000/12</f>
        <v>833.33333333333337</v>
      </c>
      <c r="H225" s="2" t="s">
        <v>183</v>
      </c>
      <c r="I225" s="2" t="s">
        <v>197</v>
      </c>
    </row>
    <row r="226" spans="3:9" x14ac:dyDescent="0.2">
      <c r="E226" s="2" t="s">
        <v>198</v>
      </c>
      <c r="G226" s="13">
        <f>1000+51</f>
        <v>1051</v>
      </c>
      <c r="H226" s="2" t="s">
        <v>199</v>
      </c>
    </row>
    <row r="228" spans="3:9" x14ac:dyDescent="0.2">
      <c r="E228" s="2" t="s">
        <v>200</v>
      </c>
      <c r="G228" s="2" t="s">
        <v>173</v>
      </c>
    </row>
    <row r="229" spans="3:9" x14ac:dyDescent="0.2">
      <c r="C229" s="4" t="s">
        <v>170</v>
      </c>
    </row>
    <row r="230" spans="3:9" x14ac:dyDescent="0.2">
      <c r="C230" s="4" t="s">
        <v>169</v>
      </c>
      <c r="E230">
        <v>0</v>
      </c>
      <c r="F230" s="2" t="s">
        <v>201</v>
      </c>
      <c r="G230">
        <v>0</v>
      </c>
      <c r="H230" s="2" t="s">
        <v>201</v>
      </c>
    </row>
    <row r="231" spans="3:9" x14ac:dyDescent="0.2">
      <c r="C231" s="4" t="s">
        <v>175</v>
      </c>
      <c r="E231">
        <v>0</v>
      </c>
      <c r="F231" s="2" t="s">
        <v>201</v>
      </c>
      <c r="G231">
        <f>(120000+20000)/2*3%</f>
        <v>2100</v>
      </c>
      <c r="H231" s="2" t="s">
        <v>201</v>
      </c>
    </row>
    <row r="232" spans="3:9" x14ac:dyDescent="0.2">
      <c r="C232" s="4" t="s">
        <v>177</v>
      </c>
      <c r="E232">
        <v>0</v>
      </c>
      <c r="F232" s="2" t="s">
        <v>201</v>
      </c>
      <c r="G232">
        <v>439</v>
      </c>
      <c r="H232" s="2" t="s">
        <v>201</v>
      </c>
    </row>
    <row r="233" spans="3:9" x14ac:dyDescent="0.2">
      <c r="C233" s="4"/>
    </row>
    <row r="234" spans="3:9" x14ac:dyDescent="0.2">
      <c r="C234" s="4" t="s">
        <v>178</v>
      </c>
      <c r="E234">
        <f>SUM(E230:E232)</f>
        <v>0</v>
      </c>
      <c r="F234" s="2" t="s">
        <v>201</v>
      </c>
      <c r="G234" s="32">
        <f>SUM(G230:G232)</f>
        <v>2539</v>
      </c>
      <c r="H234" s="2" t="s">
        <v>201</v>
      </c>
    </row>
    <row r="235" spans="3:9" x14ac:dyDescent="0.2">
      <c r="C235" s="4"/>
      <c r="E235">
        <f>E234/1051</f>
        <v>0</v>
      </c>
      <c r="F235" s="2" t="s">
        <v>59</v>
      </c>
      <c r="G235" s="13">
        <f>G234/1051</f>
        <v>2.4157944814462415</v>
      </c>
      <c r="H235" s="2" t="s">
        <v>59</v>
      </c>
    </row>
    <row r="236" spans="3:9" x14ac:dyDescent="0.2">
      <c r="C236" s="4" t="s">
        <v>179</v>
      </c>
    </row>
    <row r="237" spans="3:9" x14ac:dyDescent="0.2">
      <c r="C237" s="4"/>
    </row>
    <row r="238" spans="3:9" x14ac:dyDescent="0.2">
      <c r="C238" s="4" t="s">
        <v>202</v>
      </c>
      <c r="E238">
        <f>(120000-20000)/10000</f>
        <v>10</v>
      </c>
      <c r="F238" s="2" t="s">
        <v>59</v>
      </c>
      <c r="G238">
        <f>E238</f>
        <v>10</v>
      </c>
      <c r="H238" s="2" t="s">
        <v>59</v>
      </c>
    </row>
    <row r="239" spans="3:9" x14ac:dyDescent="0.2">
      <c r="C239" s="4" t="s">
        <v>180</v>
      </c>
      <c r="E239">
        <f>11.9*1.1+0.119*3</f>
        <v>13.447000000000001</v>
      </c>
      <c r="F239" s="2" t="s">
        <v>59</v>
      </c>
      <c r="G239">
        <f>E239</f>
        <v>13.447000000000001</v>
      </c>
      <c r="H239" s="2" t="s">
        <v>59</v>
      </c>
    </row>
    <row r="240" spans="3:9" x14ac:dyDescent="0.2">
      <c r="C240" s="4" t="s">
        <v>181</v>
      </c>
      <c r="E240">
        <v>7.4</v>
      </c>
      <c r="F240" s="2" t="s">
        <v>59</v>
      </c>
      <c r="G240">
        <f>E240</f>
        <v>7.4</v>
      </c>
      <c r="H240" s="2" t="s">
        <v>59</v>
      </c>
    </row>
    <row r="241" spans="2:12" x14ac:dyDescent="0.2">
      <c r="C241" s="4"/>
    </row>
    <row r="242" spans="2:12" x14ac:dyDescent="0.2">
      <c r="C242" s="4" t="s">
        <v>182</v>
      </c>
      <c r="E242" s="13">
        <f>SUM(E235:E240)</f>
        <v>30.847000000000001</v>
      </c>
      <c r="F242" s="2" t="s">
        <v>59</v>
      </c>
      <c r="G242" s="13">
        <f>SUM(G235:G240)</f>
        <v>33.262794481446242</v>
      </c>
      <c r="H242" s="2" t="s">
        <v>59</v>
      </c>
    </row>
    <row r="243" spans="2:12" x14ac:dyDescent="0.2">
      <c r="C243" s="4"/>
    </row>
    <row r="244" spans="2:12" x14ac:dyDescent="0.2">
      <c r="C244" s="4"/>
    </row>
    <row r="245" spans="2:12" x14ac:dyDescent="0.2">
      <c r="C245" s="4"/>
    </row>
    <row r="246" spans="2:12" x14ac:dyDescent="0.2">
      <c r="C246" s="4"/>
    </row>
    <row r="247" spans="2:12" x14ac:dyDescent="0.2">
      <c r="B247" s="2" t="s">
        <v>74</v>
      </c>
      <c r="C247" s="5" t="s">
        <v>76</v>
      </c>
    </row>
    <row r="248" spans="2:12" ht="13.5" customHeight="1" x14ac:dyDescent="0.2">
      <c r="B248" s="5"/>
      <c r="C248" s="5"/>
    </row>
    <row r="249" spans="2:12" ht="13.5" customHeight="1" x14ac:dyDescent="0.2">
      <c r="B249" s="5"/>
      <c r="C249" s="2" t="s">
        <v>203</v>
      </c>
      <c r="E249">
        <v>100</v>
      </c>
      <c r="F249" s="2" t="s">
        <v>204</v>
      </c>
    </row>
    <row r="250" spans="2:12" ht="13.5" customHeight="1" x14ac:dyDescent="0.2">
      <c r="B250" s="5"/>
      <c r="C250" s="5"/>
    </row>
    <row r="251" spans="2:12" ht="13.5" customHeight="1" x14ac:dyDescent="0.2">
      <c r="B251" s="5"/>
      <c r="C251" s="2" t="s">
        <v>205</v>
      </c>
      <c r="E251" s="13">
        <f>G189</f>
        <v>252.82358208955225</v>
      </c>
      <c r="F251" s="2" t="s">
        <v>59</v>
      </c>
      <c r="G251">
        <v>51</v>
      </c>
      <c r="H251" s="2" t="s">
        <v>206</v>
      </c>
      <c r="J251" s="32">
        <f>G251*E251</f>
        <v>12894.002686567164</v>
      </c>
      <c r="K251" s="2" t="s">
        <v>209</v>
      </c>
    </row>
    <row r="252" spans="2:12" ht="13.5" customHeight="1" x14ac:dyDescent="0.2">
      <c r="B252" s="5"/>
      <c r="C252" s="2" t="s">
        <v>207</v>
      </c>
      <c r="E252" s="13">
        <f>G205</f>
        <v>46.866666666666667</v>
      </c>
      <c r="F252" s="2" t="s">
        <v>187</v>
      </c>
      <c r="G252">
        <v>100</v>
      </c>
      <c r="H252" s="2" t="s">
        <v>208</v>
      </c>
      <c r="J252" s="13">
        <f>G252*E252</f>
        <v>4686.666666666667</v>
      </c>
      <c r="K252" s="2" t="s">
        <v>209</v>
      </c>
    </row>
    <row r="253" spans="2:12" ht="13.5" customHeight="1" x14ac:dyDescent="0.2">
      <c r="B253" s="5"/>
      <c r="C253" s="2" t="s">
        <v>194</v>
      </c>
      <c r="E253" s="13">
        <f>G242</f>
        <v>33.262794481446242</v>
      </c>
      <c r="F253" s="2" t="s">
        <v>59</v>
      </c>
      <c r="G253">
        <v>51</v>
      </c>
      <c r="H253" s="2" t="s">
        <v>210</v>
      </c>
      <c r="J253" s="13">
        <f>G253*E253*3</f>
        <v>5089.2075556612754</v>
      </c>
      <c r="K253" s="2" t="s">
        <v>209</v>
      </c>
      <c r="L253" s="2" t="s">
        <v>211</v>
      </c>
    </row>
    <row r="254" spans="2:12" ht="13.5" customHeight="1" x14ac:dyDescent="0.2">
      <c r="B254" s="5"/>
      <c r="C254" s="2" t="s">
        <v>212</v>
      </c>
      <c r="E254" s="13">
        <f>G221</f>
        <v>1.5298816568047338</v>
      </c>
      <c r="F254" s="2" t="s">
        <v>213</v>
      </c>
      <c r="G254">
        <v>1000</v>
      </c>
      <c r="H254" s="2" t="s">
        <v>215</v>
      </c>
      <c r="J254" s="13">
        <f>G254*E254*3</f>
        <v>4589.6449704142015</v>
      </c>
      <c r="K254" s="2" t="s">
        <v>209</v>
      </c>
      <c r="L254" s="2" t="s">
        <v>214</v>
      </c>
    </row>
    <row r="255" spans="2:12" ht="13.5" customHeight="1" x14ac:dyDescent="0.2">
      <c r="B255" s="5"/>
      <c r="C255" s="2"/>
      <c r="E255" s="13"/>
      <c r="F255" s="2"/>
      <c r="H255" s="2"/>
      <c r="J255" s="13"/>
      <c r="K255" s="2"/>
      <c r="L255" s="2"/>
    </row>
    <row r="256" spans="2:12" ht="13.5" customHeight="1" x14ac:dyDescent="0.2">
      <c r="B256" s="5"/>
      <c r="C256" s="2" t="s">
        <v>216</v>
      </c>
      <c r="E256" s="13">
        <v>25</v>
      </c>
      <c r="F256" s="2" t="s">
        <v>59</v>
      </c>
      <c r="G256">
        <f>(51+3*51)*1.2</f>
        <v>244.79999999999998</v>
      </c>
      <c r="H256" s="2" t="s">
        <v>138</v>
      </c>
      <c r="J256" s="13">
        <f>G256*E256</f>
        <v>6120</v>
      </c>
      <c r="K256" s="2" t="s">
        <v>209</v>
      </c>
      <c r="L256" s="2"/>
    </row>
    <row r="257" spans="2:17" ht="13.5" customHeight="1" x14ac:dyDescent="0.2">
      <c r="B257" s="5"/>
      <c r="C257" s="2"/>
      <c r="E257" s="13"/>
      <c r="F257" s="2"/>
      <c r="H257" s="2"/>
      <c r="J257" s="13"/>
      <c r="K257" s="2"/>
      <c r="L257" s="2"/>
    </row>
    <row r="258" spans="2:17" ht="13.5" customHeight="1" x14ac:dyDescent="0.2">
      <c r="B258" s="5"/>
      <c r="C258" s="2" t="s">
        <v>217</v>
      </c>
      <c r="E258" s="13">
        <v>85</v>
      </c>
      <c r="F258" s="2" t="s">
        <v>59</v>
      </c>
      <c r="G258">
        <f>11.5*51</f>
        <v>586.5</v>
      </c>
      <c r="H258" s="2" t="s">
        <v>138</v>
      </c>
      <c r="J258" s="13">
        <f>G258*E258</f>
        <v>49852.5</v>
      </c>
      <c r="K258" s="2" t="s">
        <v>209</v>
      </c>
      <c r="L258" s="2"/>
    </row>
    <row r="259" spans="2:17" ht="13.5" customHeight="1" x14ac:dyDescent="0.2">
      <c r="B259" s="5"/>
      <c r="C259" s="5"/>
      <c r="J259" s="13"/>
    </row>
    <row r="260" spans="2:17" ht="13.5" customHeight="1" x14ac:dyDescent="0.2">
      <c r="B260" s="5"/>
      <c r="C260" s="2" t="s">
        <v>218</v>
      </c>
      <c r="E260" s="13">
        <v>85</v>
      </c>
      <c r="F260" s="2" t="s">
        <v>59</v>
      </c>
      <c r="G260">
        <v>60</v>
      </c>
      <c r="H260" s="2" t="s">
        <v>138</v>
      </c>
      <c r="J260" s="13">
        <f>G260*E260</f>
        <v>5100</v>
      </c>
      <c r="K260" s="2" t="s">
        <v>209</v>
      </c>
    </row>
    <row r="261" spans="2:17" x14ac:dyDescent="0.2">
      <c r="B261" s="5"/>
      <c r="C261" s="17"/>
      <c r="D261" s="15"/>
      <c r="E261" s="15"/>
      <c r="F261" s="15"/>
      <c r="G261" s="15"/>
      <c r="H261" s="15"/>
      <c r="I261" s="15"/>
      <c r="J261" s="33"/>
      <c r="K261" s="15"/>
      <c r="L261" s="15"/>
      <c r="M261" s="15"/>
      <c r="N261" s="15"/>
      <c r="O261" s="15"/>
      <c r="P261" s="15"/>
      <c r="Q261" s="15"/>
    </row>
    <row r="262" spans="2:17" x14ac:dyDescent="0.2">
      <c r="B262" s="5"/>
      <c r="C262" s="34" t="s">
        <v>219</v>
      </c>
      <c r="D262" s="15"/>
      <c r="E262" s="15"/>
      <c r="F262" s="15"/>
      <c r="G262" s="15"/>
      <c r="H262" s="15"/>
      <c r="I262" s="15"/>
      <c r="J262" s="33">
        <f>SUM(J251:J260)</f>
        <v>88332.021879309308</v>
      </c>
      <c r="K262" s="34" t="s">
        <v>209</v>
      </c>
      <c r="L262" s="15"/>
      <c r="M262" s="15"/>
      <c r="N262" s="15"/>
      <c r="O262" s="15"/>
      <c r="P262" s="15"/>
      <c r="Q262" s="15"/>
    </row>
    <row r="263" spans="2:17" x14ac:dyDescent="0.2">
      <c r="B263" s="5"/>
      <c r="C263" s="17"/>
      <c r="D263" s="15"/>
      <c r="E263" s="15"/>
      <c r="F263" s="15"/>
      <c r="G263" s="15"/>
      <c r="H263" s="15"/>
      <c r="I263" s="15"/>
      <c r="J263" s="33"/>
      <c r="K263" s="15"/>
      <c r="L263" s="15"/>
      <c r="M263" s="15"/>
      <c r="N263" s="15"/>
      <c r="O263" s="15"/>
      <c r="P263" s="15"/>
      <c r="Q263" s="15"/>
    </row>
    <row r="264" spans="2:17" x14ac:dyDescent="0.2">
      <c r="J264" s="13"/>
    </row>
    <row r="265" spans="2:17" x14ac:dyDescent="0.2">
      <c r="B265" s="2" t="s">
        <v>75</v>
      </c>
      <c r="C265" s="5" t="s">
        <v>77</v>
      </c>
    </row>
    <row r="266" spans="2:17" x14ac:dyDescent="0.2">
      <c r="C266" s="5" t="s">
        <v>78</v>
      </c>
    </row>
    <row r="269" spans="2:17" x14ac:dyDescent="0.2">
      <c r="C269" s="2">
        <v>45000</v>
      </c>
      <c r="D269" t="s">
        <v>131</v>
      </c>
      <c r="L269" s="13"/>
      <c r="M269" s="2"/>
    </row>
    <row r="271" spans="2:17" x14ac:dyDescent="0.2">
      <c r="C271" s="14" t="s">
        <v>220</v>
      </c>
      <c r="J271" s="13">
        <f>J262</f>
        <v>88332.021879309308</v>
      </c>
      <c r="K271" s="2" t="s">
        <v>209</v>
      </c>
      <c r="L271" s="13"/>
      <c r="M271" s="2"/>
    </row>
    <row r="272" spans="2:17" x14ac:dyDescent="0.2">
      <c r="C272" s="14"/>
      <c r="H272" s="2"/>
      <c r="J272" s="2"/>
      <c r="M272" s="2"/>
    </row>
    <row r="273" spans="3:17" x14ac:dyDescent="0.2">
      <c r="C273" s="2" t="s">
        <v>221</v>
      </c>
      <c r="J273">
        <f>7*5*30</f>
        <v>1050</v>
      </c>
      <c r="K273" s="2" t="s">
        <v>209</v>
      </c>
    </row>
    <row r="274" spans="3:17" s="4" customFormat="1" x14ac:dyDescent="0.2">
      <c r="L274" s="16"/>
    </row>
    <row r="275" spans="3:17" x14ac:dyDescent="0.2">
      <c r="C275" s="2" t="s">
        <v>222</v>
      </c>
      <c r="F275">
        <v>60</v>
      </c>
      <c r="G275" s="2" t="s">
        <v>138</v>
      </c>
      <c r="H275" s="2" t="s">
        <v>223</v>
      </c>
      <c r="J275">
        <f>60*25</f>
        <v>1500</v>
      </c>
      <c r="K275" s="2" t="s">
        <v>209</v>
      </c>
    </row>
    <row r="276" spans="3:17" x14ac:dyDescent="0.2">
      <c r="C276" s="14"/>
    </row>
    <row r="277" spans="3:17" x14ac:dyDescent="0.2">
      <c r="C277" s="2" t="s">
        <v>224</v>
      </c>
      <c r="D277" s="4"/>
      <c r="E277" s="4"/>
      <c r="F277" s="4"/>
      <c r="G277" s="4"/>
      <c r="H277" s="4"/>
      <c r="I277" s="4"/>
      <c r="J277" s="2">
        <v>2000</v>
      </c>
      <c r="K277" s="2" t="s">
        <v>209</v>
      </c>
      <c r="L277" s="4"/>
      <c r="M277" s="4"/>
      <c r="N277" s="4"/>
      <c r="O277" s="4"/>
      <c r="P277" s="4"/>
      <c r="Q277" s="4"/>
    </row>
    <row r="278" spans="3:17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16"/>
      <c r="Q278" s="4"/>
    </row>
    <row r="280" spans="3:17" x14ac:dyDescent="0.2">
      <c r="C280" s="2" t="s">
        <v>225</v>
      </c>
      <c r="J280" s="13">
        <f>SUM(J271:J277)</f>
        <v>92882.021879309308</v>
      </c>
      <c r="K280" s="2" t="s">
        <v>209</v>
      </c>
    </row>
    <row r="281" spans="3:17" x14ac:dyDescent="0.2">
      <c r="J281">
        <v>495</v>
      </c>
      <c r="K281" s="2" t="s">
        <v>187</v>
      </c>
    </row>
    <row r="283" spans="3:17" x14ac:dyDescent="0.2">
      <c r="C283" s="2" t="s">
        <v>226</v>
      </c>
      <c r="J283">
        <v>500</v>
      </c>
      <c r="K283" s="2" t="s">
        <v>187</v>
      </c>
    </row>
    <row r="285" spans="3:17" x14ac:dyDescent="0.2">
      <c r="C285" s="2" t="s">
        <v>227</v>
      </c>
      <c r="J285">
        <v>450</v>
      </c>
      <c r="K285" s="2" t="s">
        <v>187</v>
      </c>
    </row>
  </sheetData>
  <pageMargins left="0.78740157499999996" right="0.78740157499999996" top="0.984251969" bottom="0.984251969" header="0.4921259845" footer="0.4921259845"/>
  <pageSetup paperSize="9" scale="6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91"/>
  <sheetViews>
    <sheetView topLeftCell="A271" zoomScale="190" zoomScaleNormal="190" workbookViewId="0">
      <selection activeCell="C289" sqref="C289:J292"/>
    </sheetView>
  </sheetViews>
  <sheetFormatPr baseColWidth="10" defaultRowHeight="12.75" x14ac:dyDescent="0.2"/>
  <cols>
    <col min="1" max="1" width="0.5703125" customWidth="1"/>
    <col min="2" max="2" width="4" customWidth="1"/>
    <col min="5" max="5" width="12.85546875" customWidth="1"/>
    <col min="7" max="7" width="13" bestFit="1" customWidth="1"/>
  </cols>
  <sheetData>
    <row r="2" spans="2:15" x14ac:dyDescent="0.2">
      <c r="C2" t="s">
        <v>0</v>
      </c>
    </row>
    <row r="3" spans="2:15" x14ac:dyDescent="0.2">
      <c r="C3" t="s">
        <v>1</v>
      </c>
    </row>
    <row r="4" spans="2:15" x14ac:dyDescent="0.2">
      <c r="C4" t="s">
        <v>2</v>
      </c>
    </row>
    <row r="5" spans="2:15" x14ac:dyDescent="0.2">
      <c r="C5" t="s">
        <v>3</v>
      </c>
    </row>
    <row r="8" spans="2:15" s="4" customFormat="1" x14ac:dyDescent="0.2">
      <c r="B8" s="4" t="s">
        <v>101</v>
      </c>
      <c r="C8" s="4" t="s">
        <v>102</v>
      </c>
      <c r="L8"/>
      <c r="M8"/>
      <c r="N8"/>
      <c r="O8"/>
    </row>
    <row r="10" spans="2:15" x14ac:dyDescent="0.2">
      <c r="C10" s="14" t="s">
        <v>103</v>
      </c>
      <c r="G10" s="2"/>
    </row>
    <row r="11" spans="2:15" x14ac:dyDescent="0.2">
      <c r="C11" s="14" t="s">
        <v>104</v>
      </c>
      <c r="G11" s="2"/>
    </row>
    <row r="12" spans="2:15" x14ac:dyDescent="0.2">
      <c r="C12" s="14" t="s">
        <v>105</v>
      </c>
      <c r="G12" s="2"/>
    </row>
    <row r="13" spans="2:15" x14ac:dyDescent="0.2">
      <c r="C13" s="14" t="s">
        <v>106</v>
      </c>
      <c r="G13" s="2"/>
    </row>
    <row r="14" spans="2:15" x14ac:dyDescent="0.2">
      <c r="C14" s="14" t="s">
        <v>107</v>
      </c>
      <c r="G14" s="2"/>
    </row>
    <row r="15" spans="2:15" x14ac:dyDescent="0.2">
      <c r="C15" s="14" t="s">
        <v>108</v>
      </c>
      <c r="G15" s="2"/>
    </row>
    <row r="16" spans="2:15" x14ac:dyDescent="0.2">
      <c r="C16" s="14" t="s">
        <v>109</v>
      </c>
      <c r="G16" s="2"/>
    </row>
    <row r="17" spans="3:7" x14ac:dyDescent="0.2">
      <c r="C17" s="14" t="s">
        <v>110</v>
      </c>
      <c r="G17" s="2"/>
    </row>
    <row r="18" spans="3:7" x14ac:dyDescent="0.2">
      <c r="C18" s="14" t="s">
        <v>111</v>
      </c>
      <c r="G18" s="2"/>
    </row>
    <row r="19" spans="3:7" x14ac:dyDescent="0.2">
      <c r="C19" s="14" t="s">
        <v>112</v>
      </c>
      <c r="G19" s="2"/>
    </row>
    <row r="20" spans="3:7" x14ac:dyDescent="0.2">
      <c r="C20" s="14" t="s">
        <v>113</v>
      </c>
      <c r="G20" s="2"/>
    </row>
    <row r="21" spans="3:7" x14ac:dyDescent="0.2">
      <c r="C21" s="14" t="s">
        <v>114</v>
      </c>
      <c r="G21" s="2"/>
    </row>
    <row r="22" spans="3:7" x14ac:dyDescent="0.2">
      <c r="C22" s="14" t="s">
        <v>115</v>
      </c>
    </row>
    <row r="23" spans="3:7" x14ac:dyDescent="0.2">
      <c r="C23" s="14" t="s">
        <v>116</v>
      </c>
    </row>
    <row r="24" spans="3:7" x14ac:dyDescent="0.2">
      <c r="C24" s="14" t="s">
        <v>117</v>
      </c>
    </row>
    <row r="25" spans="3:7" x14ac:dyDescent="0.2">
      <c r="C25" s="14" t="s">
        <v>118</v>
      </c>
    </row>
    <row r="26" spans="3:7" x14ac:dyDescent="0.2">
      <c r="C26" s="14" t="s">
        <v>129</v>
      </c>
    </row>
    <row r="27" spans="3:7" x14ac:dyDescent="0.2">
      <c r="C27" s="14" t="s">
        <v>119</v>
      </c>
    </row>
    <row r="28" spans="3:7" x14ac:dyDescent="0.2">
      <c r="C28" s="14" t="s">
        <v>120</v>
      </c>
    </row>
    <row r="29" spans="3:7" x14ac:dyDescent="0.2">
      <c r="C29" s="14" t="s">
        <v>121</v>
      </c>
    </row>
    <row r="30" spans="3:7" x14ac:dyDescent="0.2">
      <c r="C30" s="14" t="s">
        <v>122</v>
      </c>
    </row>
    <row r="31" spans="3:7" x14ac:dyDescent="0.2">
      <c r="C31" s="14" t="s">
        <v>123</v>
      </c>
    </row>
    <row r="32" spans="3:7" x14ac:dyDescent="0.2">
      <c r="C32" s="14" t="s">
        <v>124</v>
      </c>
    </row>
    <row r="33" spans="2:15" x14ac:dyDescent="0.2">
      <c r="C33" s="14" t="s">
        <v>125</v>
      </c>
    </row>
    <row r="34" spans="2:15" x14ac:dyDescent="0.2">
      <c r="C34" s="14" t="s">
        <v>126</v>
      </c>
    </row>
    <row r="35" spans="2:15" x14ac:dyDescent="0.2">
      <c r="C35" s="14" t="s">
        <v>127</v>
      </c>
    </row>
    <row r="36" spans="2:15" x14ac:dyDescent="0.2">
      <c r="C36" s="14" t="s">
        <v>128</v>
      </c>
    </row>
    <row r="37" spans="2:15" x14ac:dyDescent="0.2">
      <c r="C37" s="14" t="s">
        <v>130</v>
      </c>
    </row>
    <row r="38" spans="2:15" x14ac:dyDescent="0.2">
      <c r="C38" s="14"/>
    </row>
    <row r="39" spans="2:15" s="4" customFormat="1" x14ac:dyDescent="0.2">
      <c r="B39" s="4" t="s">
        <v>4</v>
      </c>
      <c r="C39" s="4" t="s">
        <v>25</v>
      </c>
      <c r="L39"/>
      <c r="M39"/>
      <c r="N39"/>
      <c r="O39"/>
    </row>
    <row r="41" spans="2:15" ht="25.5" x14ac:dyDescent="0.2">
      <c r="C41" s="4" t="s">
        <v>5</v>
      </c>
      <c r="D41" s="4" t="s">
        <v>6</v>
      </c>
      <c r="E41" s="4" t="s">
        <v>7</v>
      </c>
      <c r="F41" s="12" t="s">
        <v>97</v>
      </c>
      <c r="G41" s="12" t="s">
        <v>98</v>
      </c>
      <c r="H41" s="12" t="s">
        <v>99</v>
      </c>
      <c r="I41" s="12" t="s">
        <v>100</v>
      </c>
      <c r="K41" s="1"/>
    </row>
    <row r="42" spans="2:15" x14ac:dyDescent="0.2">
      <c r="C42" s="11" t="s">
        <v>87</v>
      </c>
      <c r="D42" t="s">
        <v>13</v>
      </c>
      <c r="E42" s="20">
        <v>15</v>
      </c>
      <c r="F42" s="20">
        <v>1.5</v>
      </c>
      <c r="G42" t="s">
        <v>22</v>
      </c>
      <c r="H42">
        <v>35</v>
      </c>
      <c r="I42">
        <f>IF(E42&lt;5,$F$67,IF(H42&lt;40,$F$68,$F$66))</f>
        <v>100</v>
      </c>
      <c r="K42" s="1"/>
      <c r="M42" s="13"/>
    </row>
    <row r="43" spans="2:15" x14ac:dyDescent="0.2">
      <c r="C43" s="11" t="s">
        <v>87</v>
      </c>
      <c r="D43" t="s">
        <v>9</v>
      </c>
      <c r="E43" s="20">
        <v>7</v>
      </c>
      <c r="F43" s="20">
        <v>0.5</v>
      </c>
      <c r="G43" t="s">
        <v>22</v>
      </c>
      <c r="H43">
        <v>32</v>
      </c>
      <c r="I43">
        <f t="shared" ref="I43:I55" si="0">IF(E43&lt;5,$F$67,IF(H43&lt;40,$F$68,$F$66))</f>
        <v>100</v>
      </c>
      <c r="K43" s="22"/>
      <c r="L43" s="23" t="s">
        <v>91</v>
      </c>
      <c r="M43" s="7">
        <f>+AVERAGE(F42:F55)</f>
        <v>4.0357142857142856</v>
      </c>
      <c r="N43" s="24" t="s">
        <v>67</v>
      </c>
      <c r="O43" s="2" t="s">
        <v>83</v>
      </c>
    </row>
    <row r="44" spans="2:15" x14ac:dyDescent="0.2">
      <c r="C44" s="11" t="s">
        <v>87</v>
      </c>
      <c r="D44" t="s">
        <v>17</v>
      </c>
      <c r="E44" s="20">
        <v>14</v>
      </c>
      <c r="F44" s="20">
        <v>8.5</v>
      </c>
      <c r="G44" t="s">
        <v>22</v>
      </c>
      <c r="H44">
        <v>33</v>
      </c>
      <c r="I44">
        <f t="shared" si="0"/>
        <v>100</v>
      </c>
      <c r="K44" s="1"/>
      <c r="L44" s="6"/>
    </row>
    <row r="45" spans="2:15" x14ac:dyDescent="0.2">
      <c r="C45" s="11" t="s">
        <v>87</v>
      </c>
      <c r="D45" t="s">
        <v>18</v>
      </c>
      <c r="E45" s="20">
        <v>6</v>
      </c>
      <c r="F45" s="20">
        <v>5</v>
      </c>
      <c r="G45" t="s">
        <v>22</v>
      </c>
      <c r="H45">
        <v>54</v>
      </c>
      <c r="I45">
        <f t="shared" si="0"/>
        <v>115</v>
      </c>
      <c r="K45" s="1"/>
      <c r="L45" s="19" t="s">
        <v>140</v>
      </c>
      <c r="M45" s="20">
        <f>+SUMPRODUCT(E42:E55,F42:F55)/E57</f>
        <v>4.46</v>
      </c>
      <c r="N45" s="2" t="s">
        <v>67</v>
      </c>
      <c r="O45" s="2" t="s">
        <v>84</v>
      </c>
    </row>
    <row r="46" spans="2:15" x14ac:dyDescent="0.2">
      <c r="C46" s="11" t="s">
        <v>87</v>
      </c>
      <c r="D46" t="s">
        <v>12</v>
      </c>
      <c r="E46" s="20">
        <v>6</v>
      </c>
      <c r="F46" s="20">
        <v>2</v>
      </c>
      <c r="G46" t="s">
        <v>22</v>
      </c>
      <c r="H46">
        <v>57</v>
      </c>
      <c r="I46">
        <f t="shared" si="0"/>
        <v>115</v>
      </c>
      <c r="K46" s="1"/>
      <c r="M46" s="13"/>
    </row>
    <row r="47" spans="2:15" x14ac:dyDescent="0.2">
      <c r="C47" s="11" t="s">
        <v>87</v>
      </c>
      <c r="D47" t="s">
        <v>15</v>
      </c>
      <c r="E47" s="20">
        <v>2</v>
      </c>
      <c r="F47" s="20">
        <v>5</v>
      </c>
      <c r="G47" t="s">
        <v>22</v>
      </c>
      <c r="H47">
        <v>50</v>
      </c>
      <c r="I47">
        <f t="shared" si="0"/>
        <v>85</v>
      </c>
      <c r="K47" s="1"/>
    </row>
    <row r="48" spans="2:15" x14ac:dyDescent="0.2">
      <c r="C48" s="11" t="s">
        <v>87</v>
      </c>
      <c r="D48" t="s">
        <v>16</v>
      </c>
      <c r="E48" s="20">
        <v>4</v>
      </c>
      <c r="F48" s="20">
        <v>5</v>
      </c>
      <c r="G48" t="s">
        <v>22</v>
      </c>
      <c r="H48">
        <v>33</v>
      </c>
      <c r="I48">
        <f t="shared" si="0"/>
        <v>85</v>
      </c>
      <c r="K48" s="22"/>
      <c r="L48" s="23" t="s">
        <v>90</v>
      </c>
      <c r="M48" s="7">
        <f>+AVERAGE(H42:H55)</f>
        <v>43.357142857142854</v>
      </c>
      <c r="N48" s="22" t="s">
        <v>79</v>
      </c>
      <c r="O48" s="2" t="s">
        <v>83</v>
      </c>
    </row>
    <row r="49" spans="2:15" x14ac:dyDescent="0.2">
      <c r="C49" s="11" t="s">
        <v>87</v>
      </c>
      <c r="D49" t="s">
        <v>19</v>
      </c>
      <c r="E49" s="20">
        <v>4</v>
      </c>
      <c r="F49" s="20">
        <v>6</v>
      </c>
      <c r="G49" t="s">
        <v>22</v>
      </c>
      <c r="H49">
        <v>42</v>
      </c>
      <c r="I49">
        <f t="shared" si="0"/>
        <v>85</v>
      </c>
      <c r="K49" s="1"/>
    </row>
    <row r="50" spans="2:15" x14ac:dyDescent="0.2">
      <c r="C50" s="11" t="s">
        <v>87</v>
      </c>
      <c r="D50" t="s">
        <v>20</v>
      </c>
      <c r="E50" s="20">
        <v>7</v>
      </c>
      <c r="F50" s="20">
        <v>5</v>
      </c>
      <c r="G50" t="s">
        <v>22</v>
      </c>
      <c r="H50">
        <v>44</v>
      </c>
      <c r="I50">
        <f t="shared" si="0"/>
        <v>115</v>
      </c>
      <c r="K50" s="1"/>
      <c r="L50" s="6" t="s">
        <v>86</v>
      </c>
      <c r="M50" s="20">
        <f>+SUMPRODUCT(E42:E55,H42:H55)/E57</f>
        <v>42.69</v>
      </c>
      <c r="N50" t="s">
        <v>79</v>
      </c>
      <c r="O50" s="2" t="s">
        <v>84</v>
      </c>
    </row>
    <row r="51" spans="2:15" x14ac:dyDescent="0.2">
      <c r="C51" s="11" t="s">
        <v>87</v>
      </c>
      <c r="D51" t="s">
        <v>21</v>
      </c>
      <c r="E51" s="20">
        <v>9</v>
      </c>
      <c r="F51" s="20">
        <v>2</v>
      </c>
      <c r="G51" t="s">
        <v>22</v>
      </c>
      <c r="H51">
        <v>57</v>
      </c>
      <c r="I51">
        <f t="shared" si="0"/>
        <v>115</v>
      </c>
      <c r="K51" s="1"/>
    </row>
    <row r="52" spans="2:15" x14ac:dyDescent="0.2">
      <c r="C52" s="11" t="s">
        <v>87</v>
      </c>
      <c r="D52" t="s">
        <v>10</v>
      </c>
      <c r="E52" s="20">
        <v>2</v>
      </c>
      <c r="F52" s="20">
        <v>1</v>
      </c>
      <c r="G52" t="s">
        <v>22</v>
      </c>
      <c r="H52">
        <v>34</v>
      </c>
      <c r="I52">
        <f t="shared" si="0"/>
        <v>85</v>
      </c>
      <c r="K52" s="1"/>
    </row>
    <row r="53" spans="2:15" x14ac:dyDescent="0.2">
      <c r="C53" s="11" t="s">
        <v>87</v>
      </c>
      <c r="D53" t="s">
        <v>14</v>
      </c>
      <c r="E53" s="20">
        <v>6</v>
      </c>
      <c r="F53" s="20">
        <v>3</v>
      </c>
      <c r="G53" t="s">
        <v>22</v>
      </c>
      <c r="H53">
        <v>39</v>
      </c>
      <c r="I53">
        <f t="shared" si="0"/>
        <v>100</v>
      </c>
      <c r="K53" s="22"/>
      <c r="L53" s="23" t="s">
        <v>88</v>
      </c>
      <c r="M53" s="8">
        <f>+AVERAGE(I42:I55)</f>
        <v>102.14285714285714</v>
      </c>
      <c r="N53" s="24" t="s">
        <v>92</v>
      </c>
      <c r="O53" s="2" t="s">
        <v>93</v>
      </c>
    </row>
    <row r="54" spans="2:15" x14ac:dyDescent="0.2">
      <c r="C54" s="11" t="s">
        <v>87</v>
      </c>
      <c r="D54" t="s">
        <v>8</v>
      </c>
      <c r="E54" s="20">
        <v>5</v>
      </c>
      <c r="F54" s="20">
        <v>3</v>
      </c>
      <c r="G54" t="s">
        <v>22</v>
      </c>
      <c r="H54">
        <v>49</v>
      </c>
      <c r="I54">
        <f t="shared" si="0"/>
        <v>115</v>
      </c>
      <c r="K54" s="1"/>
      <c r="L54" s="6"/>
    </row>
    <row r="55" spans="2:15" x14ac:dyDescent="0.2">
      <c r="C55" s="11" t="s">
        <v>87</v>
      </c>
      <c r="D55" t="s">
        <v>11</v>
      </c>
      <c r="E55" s="20">
        <v>13</v>
      </c>
      <c r="F55" s="20">
        <v>9</v>
      </c>
      <c r="G55" t="s">
        <v>22</v>
      </c>
      <c r="H55">
        <v>48</v>
      </c>
      <c r="I55">
        <f t="shared" si="0"/>
        <v>115</v>
      </c>
      <c r="K55" s="1"/>
      <c r="L55" s="19" t="s">
        <v>89</v>
      </c>
      <c r="M55" s="20">
        <f>+SUMPRODUCT(E42:E55,I42:I55)/E57</f>
        <v>105.1</v>
      </c>
      <c r="N55" s="2" t="s">
        <v>92</v>
      </c>
      <c r="O55" s="2" t="s">
        <v>94</v>
      </c>
    </row>
    <row r="56" spans="2:15" x14ac:dyDescent="0.2">
      <c r="K56" s="1"/>
      <c r="L56" s="1"/>
      <c r="M56" s="1"/>
      <c r="N56" s="1"/>
      <c r="O56" s="1"/>
    </row>
    <row r="57" spans="2:15" x14ac:dyDescent="0.2">
      <c r="C57" s="10" t="s">
        <v>81</v>
      </c>
      <c r="E57">
        <f>+SUM(E42:E55)</f>
        <v>100</v>
      </c>
      <c r="F57" s="5" t="s">
        <v>82</v>
      </c>
      <c r="K57" s="1"/>
      <c r="L57" s="1"/>
      <c r="M57" s="1"/>
      <c r="N57" s="1"/>
      <c r="O57" s="1"/>
    </row>
    <row r="58" spans="2:15" x14ac:dyDescent="0.2">
      <c r="C58" s="21" t="s">
        <v>132</v>
      </c>
      <c r="E58">
        <f>+COUNT(E42:E55)</f>
        <v>14</v>
      </c>
      <c r="F58" s="2" t="s">
        <v>133</v>
      </c>
    </row>
    <row r="59" spans="2:15" x14ac:dyDescent="0.2">
      <c r="C59" s="1"/>
      <c r="F59" s="5"/>
    </row>
    <row r="60" spans="2:15" x14ac:dyDescent="0.2">
      <c r="C60" s="1"/>
    </row>
    <row r="62" spans="2:15" s="4" customFormat="1" x14ac:dyDescent="0.2">
      <c r="B62" s="4" t="s">
        <v>24</v>
      </c>
      <c r="C62" s="4" t="s">
        <v>47</v>
      </c>
    </row>
    <row r="63" spans="2:15" s="4" customFormat="1" x14ac:dyDescent="0.2">
      <c r="C63" s="4" t="s">
        <v>26</v>
      </c>
    </row>
    <row r="64" spans="2:15" x14ac:dyDescent="0.2">
      <c r="C64" s="2"/>
    </row>
    <row r="65" spans="2:9" x14ac:dyDescent="0.2">
      <c r="B65" s="4" t="s">
        <v>56</v>
      </c>
      <c r="C65" s="4" t="s">
        <v>27</v>
      </c>
    </row>
    <row r="66" spans="2:9" x14ac:dyDescent="0.2">
      <c r="B66" s="4"/>
      <c r="C66" s="3" t="s">
        <v>23</v>
      </c>
      <c r="F66">
        <v>115</v>
      </c>
      <c r="G66" s="5" t="s">
        <v>63</v>
      </c>
    </row>
    <row r="67" spans="2:9" x14ac:dyDescent="0.2">
      <c r="B67" s="4"/>
      <c r="C67" s="4" t="s">
        <v>96</v>
      </c>
      <c r="F67" s="20">
        <v>85</v>
      </c>
      <c r="G67" s="5" t="s">
        <v>63</v>
      </c>
    </row>
    <row r="68" spans="2:9" x14ac:dyDescent="0.2">
      <c r="C68" s="9" t="s">
        <v>95</v>
      </c>
      <c r="F68" s="20">
        <v>100</v>
      </c>
      <c r="G68" t="s">
        <v>63</v>
      </c>
    </row>
    <row r="69" spans="2:9" x14ac:dyDescent="0.2">
      <c r="C69" t="s">
        <v>28</v>
      </c>
      <c r="F69">
        <v>326000</v>
      </c>
      <c r="G69" t="s">
        <v>29</v>
      </c>
    </row>
    <row r="70" spans="2:9" x14ac:dyDescent="0.2">
      <c r="C70" t="s">
        <v>30</v>
      </c>
      <c r="F70">
        <v>75000</v>
      </c>
      <c r="G70" t="s">
        <v>29</v>
      </c>
    </row>
    <row r="71" spans="2:9" x14ac:dyDescent="0.2">
      <c r="C71" t="s">
        <v>31</v>
      </c>
      <c r="F71">
        <v>3</v>
      </c>
      <c r="G71" t="s">
        <v>32</v>
      </c>
    </row>
    <row r="72" spans="2:9" x14ac:dyDescent="0.2">
      <c r="C72" t="s">
        <v>33</v>
      </c>
      <c r="F72">
        <v>97</v>
      </c>
      <c r="G72" t="s">
        <v>34</v>
      </c>
    </row>
    <row r="73" spans="2:9" x14ac:dyDescent="0.2">
      <c r="C73" t="s">
        <v>35</v>
      </c>
      <c r="F73">
        <v>32</v>
      </c>
      <c r="G73" t="s">
        <v>36</v>
      </c>
    </row>
    <row r="74" spans="2:9" x14ac:dyDescent="0.2">
      <c r="C74" t="s">
        <v>37</v>
      </c>
      <c r="F74" t="s">
        <v>38</v>
      </c>
      <c r="G74" t="s">
        <v>38</v>
      </c>
    </row>
    <row r="75" spans="2:9" x14ac:dyDescent="0.2">
      <c r="C75" t="s">
        <v>39</v>
      </c>
      <c r="F75">
        <v>58</v>
      </c>
      <c r="G75" t="s">
        <v>40</v>
      </c>
      <c r="H75">
        <v>1.1000000000000001</v>
      </c>
      <c r="I75" s="5" t="s">
        <v>85</v>
      </c>
    </row>
    <row r="76" spans="2:9" x14ac:dyDescent="0.2">
      <c r="C76" t="s">
        <v>41</v>
      </c>
      <c r="F76">
        <v>0.57999999999999996</v>
      </c>
      <c r="G76" t="s">
        <v>40</v>
      </c>
      <c r="H76">
        <v>3</v>
      </c>
      <c r="I76" s="5" t="s">
        <v>85</v>
      </c>
    </row>
    <row r="77" spans="2:9" x14ac:dyDescent="0.2">
      <c r="C77" t="s">
        <v>42</v>
      </c>
      <c r="F77">
        <v>10</v>
      </c>
      <c r="G77" t="s">
        <v>43</v>
      </c>
    </row>
    <row r="78" spans="2:9" x14ac:dyDescent="0.2">
      <c r="C78" t="s">
        <v>44</v>
      </c>
      <c r="F78">
        <v>3000</v>
      </c>
      <c r="G78" t="s">
        <v>45</v>
      </c>
    </row>
    <row r="79" spans="2:9" x14ac:dyDescent="0.2">
      <c r="C79" t="s">
        <v>46</v>
      </c>
      <c r="F79">
        <v>300</v>
      </c>
      <c r="G79" t="s">
        <v>45</v>
      </c>
    </row>
    <row r="82" spans="2:7" x14ac:dyDescent="0.2">
      <c r="B82" s="4" t="s">
        <v>56</v>
      </c>
      <c r="C82" s="4" t="s">
        <v>48</v>
      </c>
    </row>
    <row r="83" spans="2:7" x14ac:dyDescent="0.2">
      <c r="C83" t="s">
        <v>28</v>
      </c>
      <c r="F83">
        <v>79000</v>
      </c>
      <c r="G83" t="s">
        <v>29</v>
      </c>
    </row>
    <row r="84" spans="2:7" x14ac:dyDescent="0.2">
      <c r="C84" t="s">
        <v>30</v>
      </c>
      <c r="F84">
        <v>0</v>
      </c>
      <c r="G84" t="s">
        <v>29</v>
      </c>
    </row>
    <row r="85" spans="2:7" x14ac:dyDescent="0.2">
      <c r="C85" t="s">
        <v>31</v>
      </c>
      <c r="F85">
        <v>3</v>
      </c>
      <c r="G85" t="s">
        <v>32</v>
      </c>
    </row>
    <row r="86" spans="2:7" x14ac:dyDescent="0.2">
      <c r="C86" t="s">
        <v>33</v>
      </c>
      <c r="F86">
        <v>0</v>
      </c>
      <c r="G86" t="s">
        <v>34</v>
      </c>
    </row>
    <row r="87" spans="2:7" x14ac:dyDescent="0.2">
      <c r="C87" t="s">
        <v>35</v>
      </c>
      <c r="F87">
        <v>10</v>
      </c>
      <c r="G87" t="s">
        <v>49</v>
      </c>
    </row>
    <row r="88" spans="2:7" x14ac:dyDescent="0.2">
      <c r="C88" t="s">
        <v>37</v>
      </c>
      <c r="F88" t="s">
        <v>38</v>
      </c>
      <c r="G88" t="s">
        <v>38</v>
      </c>
    </row>
    <row r="89" spans="2:7" x14ac:dyDescent="0.2">
      <c r="C89" t="s">
        <v>39</v>
      </c>
      <c r="F89">
        <v>0</v>
      </c>
      <c r="G89" t="s">
        <v>50</v>
      </c>
    </row>
    <row r="90" spans="2:7" x14ac:dyDescent="0.2">
      <c r="C90" t="s">
        <v>41</v>
      </c>
      <c r="F90">
        <v>0</v>
      </c>
      <c r="G90" t="s">
        <v>50</v>
      </c>
    </row>
    <row r="91" spans="2:7" x14ac:dyDescent="0.2">
      <c r="C91" t="s">
        <v>42</v>
      </c>
      <c r="F91">
        <v>8</v>
      </c>
      <c r="G91" t="s">
        <v>43</v>
      </c>
    </row>
    <row r="92" spans="2:7" x14ac:dyDescent="0.2">
      <c r="C92" t="s">
        <v>44</v>
      </c>
      <c r="F92">
        <v>2500</v>
      </c>
      <c r="G92" t="s">
        <v>51</v>
      </c>
    </row>
    <row r="93" spans="2:7" x14ac:dyDescent="0.2">
      <c r="C93" t="s">
        <v>46</v>
      </c>
      <c r="F93">
        <v>312.5</v>
      </c>
      <c r="G93" t="s">
        <v>51</v>
      </c>
    </row>
    <row r="96" spans="2:7" x14ac:dyDescent="0.2">
      <c r="B96" s="4" t="s">
        <v>61</v>
      </c>
      <c r="C96" s="4" t="s">
        <v>52</v>
      </c>
    </row>
    <row r="97" spans="2:7" x14ac:dyDescent="0.2">
      <c r="C97" t="s">
        <v>28</v>
      </c>
      <c r="F97">
        <v>120000</v>
      </c>
      <c r="G97" t="s">
        <v>29</v>
      </c>
    </row>
    <row r="98" spans="2:7" x14ac:dyDescent="0.2">
      <c r="C98" t="s">
        <v>30</v>
      </c>
      <c r="F98">
        <v>20000</v>
      </c>
      <c r="G98" t="s">
        <v>29</v>
      </c>
    </row>
    <row r="99" spans="2:7" x14ac:dyDescent="0.2">
      <c r="C99" t="s">
        <v>31</v>
      </c>
      <c r="F99">
        <v>3</v>
      </c>
      <c r="G99" t="s">
        <v>32</v>
      </c>
    </row>
    <row r="100" spans="2:7" x14ac:dyDescent="0.2">
      <c r="C100" t="s">
        <v>33</v>
      </c>
      <c r="F100">
        <v>439</v>
      </c>
      <c r="G100" t="s">
        <v>34</v>
      </c>
    </row>
    <row r="101" spans="2:7" x14ac:dyDescent="0.2">
      <c r="C101" t="s">
        <v>35</v>
      </c>
      <c r="F101">
        <v>7.4000000953674316</v>
      </c>
      <c r="G101" t="s">
        <v>36</v>
      </c>
    </row>
    <row r="102" spans="2:7" x14ac:dyDescent="0.2">
      <c r="C102" t="s">
        <v>37</v>
      </c>
      <c r="F102" t="s">
        <v>38</v>
      </c>
      <c r="G102" t="s">
        <v>38</v>
      </c>
    </row>
    <row r="103" spans="2:7" x14ac:dyDescent="0.2">
      <c r="C103" t="s">
        <v>39</v>
      </c>
      <c r="F103">
        <v>11.899999618530273</v>
      </c>
      <c r="G103" t="s">
        <v>40</v>
      </c>
    </row>
    <row r="104" spans="2:7" x14ac:dyDescent="0.2">
      <c r="C104" t="s">
        <v>41</v>
      </c>
      <c r="F104">
        <v>0.11900000274181366</v>
      </c>
      <c r="G104" t="s">
        <v>40</v>
      </c>
    </row>
    <row r="105" spans="2:7" x14ac:dyDescent="0.2">
      <c r="C105" t="s">
        <v>42</v>
      </c>
      <c r="F105">
        <v>12</v>
      </c>
      <c r="G105" t="s">
        <v>43</v>
      </c>
    </row>
    <row r="106" spans="2:7" x14ac:dyDescent="0.2">
      <c r="C106" t="s">
        <v>44</v>
      </c>
      <c r="F106">
        <v>10000</v>
      </c>
      <c r="G106" t="s">
        <v>45</v>
      </c>
    </row>
    <row r="107" spans="2:7" x14ac:dyDescent="0.2">
      <c r="C107" t="s">
        <v>46</v>
      </c>
      <c r="F107">
        <v>833.33333333333337</v>
      </c>
      <c r="G107" t="s">
        <v>45</v>
      </c>
    </row>
    <row r="110" spans="2:7" x14ac:dyDescent="0.2">
      <c r="B110" s="4" t="s">
        <v>61</v>
      </c>
      <c r="C110" s="4" t="s">
        <v>53</v>
      </c>
    </row>
    <row r="111" spans="2:7" x14ac:dyDescent="0.2">
      <c r="C111" t="s">
        <v>28</v>
      </c>
      <c r="F111">
        <v>70000</v>
      </c>
      <c r="G111" t="s">
        <v>29</v>
      </c>
    </row>
    <row r="112" spans="2:7" x14ac:dyDescent="0.2">
      <c r="C112" t="s">
        <v>30</v>
      </c>
      <c r="F112">
        <v>0</v>
      </c>
      <c r="G112" t="s">
        <v>29</v>
      </c>
    </row>
    <row r="113" spans="3:8" x14ac:dyDescent="0.2">
      <c r="C113" t="s">
        <v>31</v>
      </c>
      <c r="F113">
        <v>3</v>
      </c>
      <c r="G113" t="s">
        <v>32</v>
      </c>
    </row>
    <row r="114" spans="3:8" x14ac:dyDescent="0.2">
      <c r="C114" t="s">
        <v>33</v>
      </c>
      <c r="F114">
        <v>41</v>
      </c>
      <c r="G114" t="s">
        <v>34</v>
      </c>
    </row>
    <row r="115" spans="3:8" x14ac:dyDescent="0.2">
      <c r="C115" t="s">
        <v>35</v>
      </c>
      <c r="F115">
        <v>0.20000000298023224</v>
      </c>
      <c r="G115" t="s">
        <v>54</v>
      </c>
    </row>
    <row r="116" spans="3:8" x14ac:dyDescent="0.2">
      <c r="C116" t="s">
        <v>37</v>
      </c>
      <c r="F116" t="s">
        <v>38</v>
      </c>
      <c r="G116" t="s">
        <v>38</v>
      </c>
    </row>
    <row r="117" spans="3:8" x14ac:dyDescent="0.2">
      <c r="C117" t="s">
        <v>39</v>
      </c>
      <c r="F117">
        <v>0</v>
      </c>
      <c r="G117" t="s">
        <v>50</v>
      </c>
    </row>
    <row r="118" spans="3:8" x14ac:dyDescent="0.2">
      <c r="C118" t="s">
        <v>41</v>
      </c>
      <c r="F118">
        <v>0</v>
      </c>
      <c r="G118" t="s">
        <v>50</v>
      </c>
    </row>
    <row r="119" spans="3:8" x14ac:dyDescent="0.2">
      <c r="C119" t="s">
        <v>42</v>
      </c>
      <c r="F119">
        <v>10</v>
      </c>
      <c r="G119" t="s">
        <v>43</v>
      </c>
    </row>
    <row r="120" spans="3:8" x14ac:dyDescent="0.2">
      <c r="C120" t="s">
        <v>44</v>
      </c>
      <c r="F120">
        <v>121000</v>
      </c>
      <c r="G120" t="s">
        <v>55</v>
      </c>
    </row>
    <row r="121" spans="3:8" x14ac:dyDescent="0.2">
      <c r="C121" t="s">
        <v>46</v>
      </c>
      <c r="F121">
        <v>12100</v>
      </c>
      <c r="G121" t="s">
        <v>55</v>
      </c>
    </row>
    <row r="124" spans="3:8" x14ac:dyDescent="0.2">
      <c r="C124" t="s">
        <v>57</v>
      </c>
    </row>
    <row r="125" spans="3:8" x14ac:dyDescent="0.2">
      <c r="C125" t="s">
        <v>58</v>
      </c>
    </row>
    <row r="127" spans="3:8" x14ac:dyDescent="0.2">
      <c r="C127" t="s">
        <v>60</v>
      </c>
      <c r="G127">
        <v>85</v>
      </c>
      <c r="H127" t="s">
        <v>59</v>
      </c>
    </row>
    <row r="128" spans="3:8" x14ac:dyDescent="0.2">
      <c r="C128" t="s">
        <v>62</v>
      </c>
      <c r="G128">
        <v>85</v>
      </c>
      <c r="H128" t="s">
        <v>59</v>
      </c>
    </row>
    <row r="132" spans="2:10" x14ac:dyDescent="0.2">
      <c r="B132" s="2" t="s">
        <v>73</v>
      </c>
      <c r="C132" t="s">
        <v>134</v>
      </c>
    </row>
    <row r="134" spans="2:10" x14ac:dyDescent="0.2">
      <c r="C134" t="s">
        <v>135</v>
      </c>
      <c r="F134" s="20">
        <v>6</v>
      </c>
      <c r="G134" t="s">
        <v>136</v>
      </c>
    </row>
    <row r="135" spans="2:10" x14ac:dyDescent="0.2">
      <c r="C135" t="s">
        <v>137</v>
      </c>
      <c r="F135" s="20">
        <v>15</v>
      </c>
      <c r="G135" t="s">
        <v>138</v>
      </c>
    </row>
    <row r="136" spans="2:10" x14ac:dyDescent="0.2">
      <c r="C136" t="s">
        <v>139</v>
      </c>
      <c r="F136">
        <f>+F134*F135</f>
        <v>90</v>
      </c>
      <c r="G136" t="s">
        <v>138</v>
      </c>
    </row>
    <row r="138" spans="2:10" x14ac:dyDescent="0.2">
      <c r="C138" s="2" t="s">
        <v>141</v>
      </c>
      <c r="E138" s="25">
        <v>0.2</v>
      </c>
      <c r="F138">
        <f>F136*E138</f>
        <v>18</v>
      </c>
      <c r="G138" s="2" t="s">
        <v>138</v>
      </c>
    </row>
    <row r="140" spans="2:10" x14ac:dyDescent="0.2">
      <c r="C140" s="2" t="s">
        <v>142</v>
      </c>
      <c r="F140">
        <f>F136-F138</f>
        <v>72</v>
      </c>
      <c r="G140" s="2" t="s">
        <v>138</v>
      </c>
    </row>
    <row r="142" spans="2:10" x14ac:dyDescent="0.2">
      <c r="C142" s="2" t="s">
        <v>143</v>
      </c>
      <c r="F142">
        <f>100*43.36</f>
        <v>4336</v>
      </c>
      <c r="G142" s="2" t="s">
        <v>146</v>
      </c>
      <c r="H142" s="2" t="s">
        <v>144</v>
      </c>
      <c r="I142" s="13">
        <f>M48</f>
        <v>43.357142857142854</v>
      </c>
      <c r="J142" s="2" t="s">
        <v>145</v>
      </c>
    </row>
    <row r="144" spans="2:10" x14ac:dyDescent="0.2">
      <c r="C144" s="2" t="s">
        <v>147</v>
      </c>
      <c r="F144" s="26">
        <f>M53</f>
        <v>102.14285714285714</v>
      </c>
      <c r="G144" s="2" t="s">
        <v>148</v>
      </c>
    </row>
    <row r="146" spans="2:10" x14ac:dyDescent="0.2">
      <c r="C146" s="2" t="s">
        <v>149</v>
      </c>
      <c r="F146" s="13">
        <f>F142/F144</f>
        <v>42.450349650349651</v>
      </c>
      <c r="G146" s="2" t="s">
        <v>138</v>
      </c>
    </row>
    <row r="148" spans="2:10" x14ac:dyDescent="0.2">
      <c r="C148" s="2" t="s">
        <v>150</v>
      </c>
      <c r="E148" s="25">
        <v>0.2</v>
      </c>
      <c r="F148" s="13">
        <f>F146*0.2</f>
        <v>8.4900699300699305</v>
      </c>
      <c r="G148" s="2" t="s">
        <v>138</v>
      </c>
    </row>
    <row r="150" spans="2:10" x14ac:dyDescent="0.2">
      <c r="C150" s="2" t="s">
        <v>151</v>
      </c>
      <c r="F150" s="13">
        <f>F146+F148</f>
        <v>50.940419580419579</v>
      </c>
      <c r="G150" s="2" t="s">
        <v>138</v>
      </c>
      <c r="I150" s="2" t="s">
        <v>152</v>
      </c>
    </row>
    <row r="152" spans="2:10" x14ac:dyDescent="0.2">
      <c r="B152" s="2" t="s">
        <v>64</v>
      </c>
      <c r="C152" t="s">
        <v>65</v>
      </c>
    </row>
    <row r="153" spans="2:10" x14ac:dyDescent="0.2">
      <c r="C153" t="s">
        <v>66</v>
      </c>
    </row>
    <row r="155" spans="2:10" x14ac:dyDescent="0.2">
      <c r="C155" s="2" t="s">
        <v>153</v>
      </c>
      <c r="F155">
        <v>40</v>
      </c>
      <c r="G155" s="2" t="s">
        <v>154</v>
      </c>
    </row>
    <row r="156" spans="2:10" x14ac:dyDescent="0.2">
      <c r="C156" s="2" t="s">
        <v>155</v>
      </c>
      <c r="F156">
        <v>0.4</v>
      </c>
      <c r="G156" s="2" t="s">
        <v>156</v>
      </c>
    </row>
    <row r="158" spans="2:10" x14ac:dyDescent="0.2">
      <c r="C158" s="2" t="s">
        <v>157</v>
      </c>
      <c r="F158">
        <f>F155*F156</f>
        <v>16</v>
      </c>
      <c r="G158" s="2" t="s">
        <v>146</v>
      </c>
    </row>
    <row r="160" spans="2:10" x14ac:dyDescent="0.2">
      <c r="C160" s="2" t="s">
        <v>158</v>
      </c>
      <c r="F160" s="27">
        <f>16/102</f>
        <v>0.15686274509803921</v>
      </c>
      <c r="G160" s="2" t="s">
        <v>159</v>
      </c>
      <c r="I160">
        <f>1/F160</f>
        <v>6.375</v>
      </c>
      <c r="J160" s="2" t="s">
        <v>164</v>
      </c>
    </row>
    <row r="161" spans="2:19" x14ac:dyDescent="0.2">
      <c r="C161" s="2" t="s">
        <v>160</v>
      </c>
      <c r="D161">
        <v>8.08</v>
      </c>
      <c r="E161">
        <v>20</v>
      </c>
      <c r="F161">
        <f>D161/E161</f>
        <v>0.40400000000000003</v>
      </c>
      <c r="G161" s="2" t="s">
        <v>161</v>
      </c>
      <c r="I161" s="2" t="s">
        <v>167</v>
      </c>
    </row>
    <row r="162" spans="2:19" x14ac:dyDescent="0.2">
      <c r="C162" s="2" t="s">
        <v>162</v>
      </c>
      <c r="F162">
        <f>0.15</f>
        <v>0.15</v>
      </c>
      <c r="G162" s="2" t="s">
        <v>161</v>
      </c>
    </row>
    <row r="163" spans="2:19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</row>
    <row r="164" spans="2:19" x14ac:dyDescent="0.2">
      <c r="C164" s="18"/>
      <c r="D164" s="18"/>
      <c r="E164" s="18"/>
      <c r="F164" s="28">
        <f>SUM(F160:F162)</f>
        <v>0.71086274509803926</v>
      </c>
      <c r="G164" s="30" t="s">
        <v>163</v>
      </c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</row>
    <row r="165" spans="2:19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</row>
    <row r="166" spans="2:19" x14ac:dyDescent="0.2">
      <c r="C166" s="29" t="s">
        <v>165</v>
      </c>
      <c r="D166" s="18"/>
      <c r="E166" s="18"/>
      <c r="F166" s="31">
        <f>I160*F164</f>
        <v>4.5317500000000006</v>
      </c>
      <c r="G166" s="30" t="s">
        <v>166</v>
      </c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</row>
    <row r="167" spans="2:19" x14ac:dyDescent="0.2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</row>
    <row r="168" spans="2:19" x14ac:dyDescent="0.2">
      <c r="C168" s="29" t="s">
        <v>168</v>
      </c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</row>
    <row r="170" spans="2:19" x14ac:dyDescent="0.2">
      <c r="B170" s="2" t="s">
        <v>68</v>
      </c>
      <c r="C170" t="s">
        <v>69</v>
      </c>
    </row>
    <row r="171" spans="2:19" x14ac:dyDescent="0.2">
      <c r="B171" s="5"/>
    </row>
    <row r="172" spans="2:19" x14ac:dyDescent="0.2">
      <c r="B172" s="5"/>
    </row>
    <row r="173" spans="2:19" x14ac:dyDescent="0.2">
      <c r="B173" s="5"/>
    </row>
    <row r="175" spans="2:19" x14ac:dyDescent="0.2">
      <c r="B175" s="2" t="s">
        <v>70</v>
      </c>
      <c r="C175" s="4" t="s">
        <v>80</v>
      </c>
      <c r="G175" s="2" t="s">
        <v>171</v>
      </c>
    </row>
    <row r="176" spans="2:19" x14ac:dyDescent="0.2">
      <c r="B176" s="2"/>
      <c r="E176" s="2" t="s">
        <v>172</v>
      </c>
      <c r="G176" s="2" t="s">
        <v>173</v>
      </c>
    </row>
    <row r="177" spans="2:11" x14ac:dyDescent="0.2">
      <c r="B177" s="2"/>
      <c r="C177" s="4" t="s">
        <v>170</v>
      </c>
    </row>
    <row r="178" spans="2:11" x14ac:dyDescent="0.2">
      <c r="B178" s="2"/>
      <c r="C178" s="4" t="s">
        <v>169</v>
      </c>
      <c r="E178">
        <v>0</v>
      </c>
      <c r="F178" s="2" t="s">
        <v>174</v>
      </c>
      <c r="G178">
        <f>(326000-75000)/10</f>
        <v>25100</v>
      </c>
      <c r="H178" s="2" t="s">
        <v>174</v>
      </c>
    </row>
    <row r="179" spans="2:11" x14ac:dyDescent="0.2">
      <c r="B179" s="2"/>
      <c r="C179" s="4" t="s">
        <v>175</v>
      </c>
      <c r="D179" s="25">
        <v>0.03</v>
      </c>
      <c r="E179">
        <v>0</v>
      </c>
      <c r="F179" s="2" t="s">
        <v>174</v>
      </c>
      <c r="G179">
        <f>(326000+75000)/2*D179</f>
        <v>6015</v>
      </c>
      <c r="H179" s="2" t="s">
        <v>174</v>
      </c>
      <c r="I179" s="2" t="s">
        <v>176</v>
      </c>
    </row>
    <row r="180" spans="2:11" x14ac:dyDescent="0.2">
      <c r="B180" s="2"/>
      <c r="C180" s="4" t="s">
        <v>177</v>
      </c>
      <c r="E180">
        <v>0</v>
      </c>
      <c r="F180" s="2" t="s">
        <v>174</v>
      </c>
      <c r="G180">
        <v>97</v>
      </c>
      <c r="H180" s="2" t="s">
        <v>174</v>
      </c>
    </row>
    <row r="181" spans="2:11" x14ac:dyDescent="0.2">
      <c r="B181" s="2"/>
      <c r="C181" s="4"/>
      <c r="F181" s="2"/>
    </row>
    <row r="182" spans="2:11" x14ac:dyDescent="0.2">
      <c r="B182" s="2"/>
      <c r="C182" s="4" t="s">
        <v>178</v>
      </c>
      <c r="E182">
        <f>SUM(E178:E180)</f>
        <v>0</v>
      </c>
      <c r="F182" s="2" t="s">
        <v>174</v>
      </c>
      <c r="G182">
        <f>SUM(G178:G180)</f>
        <v>31212</v>
      </c>
      <c r="H182" s="2" t="s">
        <v>174</v>
      </c>
    </row>
    <row r="183" spans="2:11" x14ac:dyDescent="0.2">
      <c r="B183" s="2"/>
      <c r="C183" s="4"/>
      <c r="G183" s="13">
        <f>G182/201</f>
        <v>155.28358208955223</v>
      </c>
      <c r="H183" s="2" t="s">
        <v>59</v>
      </c>
    </row>
    <row r="184" spans="2:11" x14ac:dyDescent="0.2">
      <c r="B184" s="2"/>
      <c r="C184" s="4" t="s">
        <v>179</v>
      </c>
    </row>
    <row r="185" spans="2:11" x14ac:dyDescent="0.2">
      <c r="B185" s="2"/>
      <c r="C185" s="4"/>
    </row>
    <row r="186" spans="2:11" x14ac:dyDescent="0.2">
      <c r="B186" s="2"/>
      <c r="C186" s="4" t="s">
        <v>180</v>
      </c>
      <c r="E186">
        <f>58*1.1+0.58*3</f>
        <v>65.540000000000006</v>
      </c>
      <c r="F186" s="2" t="s">
        <v>59</v>
      </c>
      <c r="G186">
        <f>E186</f>
        <v>65.540000000000006</v>
      </c>
      <c r="H186" s="2" t="s">
        <v>59</v>
      </c>
    </row>
    <row r="187" spans="2:11" x14ac:dyDescent="0.2">
      <c r="B187" s="2"/>
      <c r="C187" s="4" t="s">
        <v>181</v>
      </c>
      <c r="E187">
        <v>32</v>
      </c>
      <c r="F187" s="2" t="s">
        <v>59</v>
      </c>
      <c r="G187">
        <v>32</v>
      </c>
      <c r="H187" s="2" t="s">
        <v>59</v>
      </c>
    </row>
    <row r="188" spans="2:11" x14ac:dyDescent="0.2">
      <c r="B188" s="2"/>
      <c r="C188" s="4"/>
    </row>
    <row r="189" spans="2:11" x14ac:dyDescent="0.2">
      <c r="B189" s="2"/>
      <c r="C189" s="4" t="s">
        <v>182</v>
      </c>
      <c r="E189">
        <f>E187+E186</f>
        <v>97.54</v>
      </c>
      <c r="F189" s="2" t="s">
        <v>59</v>
      </c>
      <c r="G189" s="13">
        <f>G187+G186+G183</f>
        <v>252.82358208955225</v>
      </c>
      <c r="H189" s="2" t="s">
        <v>59</v>
      </c>
      <c r="I189">
        <f>150+51</f>
        <v>201</v>
      </c>
      <c r="J189" s="2" t="s">
        <v>183</v>
      </c>
    </row>
    <row r="191" spans="2:11" x14ac:dyDescent="0.2">
      <c r="C191" s="4" t="s">
        <v>71</v>
      </c>
      <c r="H191" s="2" t="s">
        <v>184</v>
      </c>
      <c r="J191">
        <v>200</v>
      </c>
      <c r="K191" s="2" t="s">
        <v>185</v>
      </c>
    </row>
    <row r="192" spans="2:11" x14ac:dyDescent="0.2">
      <c r="C192" s="4"/>
    </row>
    <row r="193" spans="3:10" x14ac:dyDescent="0.2">
      <c r="C193" s="4" t="s">
        <v>170</v>
      </c>
    </row>
    <row r="194" spans="3:10" x14ac:dyDescent="0.2">
      <c r="C194" s="4" t="s">
        <v>169</v>
      </c>
      <c r="E194">
        <v>0</v>
      </c>
      <c r="F194" s="2" t="s">
        <v>174</v>
      </c>
      <c r="G194">
        <f>(79000)/8</f>
        <v>9875</v>
      </c>
      <c r="H194" s="2" t="s">
        <v>186</v>
      </c>
    </row>
    <row r="195" spans="3:10" x14ac:dyDescent="0.2">
      <c r="C195" s="4" t="s">
        <v>175</v>
      </c>
      <c r="E195">
        <v>0</v>
      </c>
      <c r="F195" s="2" t="s">
        <v>174</v>
      </c>
      <c r="G195">
        <f>(79000/2)*0.03</f>
        <v>1185</v>
      </c>
      <c r="H195" s="2" t="s">
        <v>186</v>
      </c>
    </row>
    <row r="196" spans="3:10" x14ac:dyDescent="0.2">
      <c r="C196" s="4" t="s">
        <v>177</v>
      </c>
      <c r="E196">
        <v>0</v>
      </c>
      <c r="F196" s="2" t="s">
        <v>174</v>
      </c>
      <c r="G196">
        <v>0</v>
      </c>
      <c r="H196" s="2" t="s">
        <v>186</v>
      </c>
    </row>
    <row r="197" spans="3:10" x14ac:dyDescent="0.2">
      <c r="C197" s="4"/>
    </row>
    <row r="198" spans="3:10" x14ac:dyDescent="0.2">
      <c r="C198" s="4" t="s">
        <v>178</v>
      </c>
      <c r="E198">
        <v>0</v>
      </c>
      <c r="F198" s="2" t="s">
        <v>174</v>
      </c>
      <c r="G198">
        <f>SUM(G194:G196)</f>
        <v>11060</v>
      </c>
      <c r="H198" s="2" t="s">
        <v>186</v>
      </c>
    </row>
    <row r="199" spans="3:10" x14ac:dyDescent="0.2">
      <c r="C199" s="4"/>
      <c r="G199" s="13">
        <f>G198/300</f>
        <v>36.866666666666667</v>
      </c>
      <c r="H199" s="2" t="s">
        <v>187</v>
      </c>
    </row>
    <row r="200" spans="3:10" x14ac:dyDescent="0.2">
      <c r="C200" s="4" t="s">
        <v>179</v>
      </c>
    </row>
    <row r="201" spans="3:10" x14ac:dyDescent="0.2">
      <c r="C201" s="4"/>
    </row>
    <row r="202" spans="3:10" x14ac:dyDescent="0.2">
      <c r="C202" s="4" t="s">
        <v>180</v>
      </c>
    </row>
    <row r="203" spans="3:10" x14ac:dyDescent="0.2">
      <c r="C203" s="4" t="s">
        <v>181</v>
      </c>
      <c r="E203">
        <v>10</v>
      </c>
      <c r="F203" s="2" t="s">
        <v>187</v>
      </c>
      <c r="G203">
        <v>10</v>
      </c>
      <c r="H203" s="2" t="s">
        <v>187</v>
      </c>
    </row>
    <row r="204" spans="3:10" x14ac:dyDescent="0.2">
      <c r="C204" s="4"/>
    </row>
    <row r="205" spans="3:10" x14ac:dyDescent="0.2">
      <c r="C205" s="4" t="s">
        <v>182</v>
      </c>
      <c r="E205">
        <f>E203</f>
        <v>10</v>
      </c>
      <c r="F205" s="2" t="s">
        <v>187</v>
      </c>
      <c r="G205" s="13">
        <f>G203+G199</f>
        <v>46.866666666666667</v>
      </c>
      <c r="H205" s="2" t="s">
        <v>187</v>
      </c>
    </row>
    <row r="207" spans="3:10" x14ac:dyDescent="0.2">
      <c r="C207" s="4" t="s">
        <v>72</v>
      </c>
      <c r="I207" s="2" t="s">
        <v>189</v>
      </c>
    </row>
    <row r="208" spans="3:10" x14ac:dyDescent="0.2">
      <c r="C208" s="4"/>
      <c r="I208">
        <v>5000</v>
      </c>
      <c r="J208" s="2" t="s">
        <v>190</v>
      </c>
    </row>
    <row r="209" spans="3:10" x14ac:dyDescent="0.2">
      <c r="C209" s="4" t="s">
        <v>170</v>
      </c>
    </row>
    <row r="210" spans="3:10" x14ac:dyDescent="0.2">
      <c r="C210" s="4" t="s">
        <v>169</v>
      </c>
      <c r="E210">
        <v>0</v>
      </c>
      <c r="F210" s="2" t="s">
        <v>174</v>
      </c>
      <c r="G210">
        <f>70000/10</f>
        <v>7000</v>
      </c>
      <c r="H210" s="2" t="s">
        <v>174</v>
      </c>
      <c r="I210">
        <f>F142</f>
        <v>4336</v>
      </c>
      <c r="J210" s="2" t="s">
        <v>191</v>
      </c>
    </row>
    <row r="211" spans="3:10" x14ac:dyDescent="0.2">
      <c r="C211" s="4" t="s">
        <v>175</v>
      </c>
      <c r="E211">
        <v>0</v>
      </c>
      <c r="F211" s="2" t="s">
        <v>174</v>
      </c>
      <c r="G211">
        <f>70000/2*0.03</f>
        <v>1050</v>
      </c>
      <c r="H211" s="2" t="s">
        <v>174</v>
      </c>
      <c r="I211">
        <f>I210/4</f>
        <v>1084</v>
      </c>
      <c r="J211" s="2" t="s">
        <v>192</v>
      </c>
    </row>
    <row r="212" spans="3:10" x14ac:dyDescent="0.2">
      <c r="C212" s="4" t="s">
        <v>177</v>
      </c>
      <c r="E212">
        <v>0</v>
      </c>
      <c r="F212" s="2" t="s">
        <v>174</v>
      </c>
      <c r="G212">
        <v>41</v>
      </c>
      <c r="H212" s="2" t="s">
        <v>174</v>
      </c>
    </row>
    <row r="213" spans="3:10" x14ac:dyDescent="0.2">
      <c r="C213" s="4"/>
      <c r="I213">
        <f>I208+I211</f>
        <v>6084</v>
      </c>
      <c r="J213" s="2" t="s">
        <v>193</v>
      </c>
    </row>
    <row r="214" spans="3:10" x14ac:dyDescent="0.2">
      <c r="C214" s="4" t="s">
        <v>178</v>
      </c>
      <c r="E214">
        <v>0</v>
      </c>
      <c r="F214" s="2" t="s">
        <v>174</v>
      </c>
      <c r="G214">
        <f>SUM(G210:G212)</f>
        <v>8091</v>
      </c>
      <c r="H214" s="2" t="s">
        <v>174</v>
      </c>
    </row>
    <row r="215" spans="3:10" x14ac:dyDescent="0.2">
      <c r="C215" s="4"/>
      <c r="G215" s="13">
        <f>G214/I213</f>
        <v>1.3298816568047338</v>
      </c>
      <c r="H215" s="2" t="s">
        <v>188</v>
      </c>
    </row>
    <row r="216" spans="3:10" x14ac:dyDescent="0.2">
      <c r="C216" s="4" t="s">
        <v>179</v>
      </c>
    </row>
    <row r="217" spans="3:10" x14ac:dyDescent="0.2">
      <c r="C217" s="4"/>
    </row>
    <row r="218" spans="3:10" x14ac:dyDescent="0.2">
      <c r="C218" s="4" t="s">
        <v>180</v>
      </c>
    </row>
    <row r="219" spans="3:10" x14ac:dyDescent="0.2">
      <c r="C219" s="4" t="s">
        <v>181</v>
      </c>
      <c r="E219">
        <v>0.2</v>
      </c>
      <c r="F219" s="2" t="s">
        <v>188</v>
      </c>
      <c r="G219">
        <v>0.2</v>
      </c>
      <c r="H219" s="2" t="s">
        <v>188</v>
      </c>
    </row>
    <row r="220" spans="3:10" x14ac:dyDescent="0.2">
      <c r="C220" s="4"/>
    </row>
    <row r="221" spans="3:10" x14ac:dyDescent="0.2">
      <c r="C221" s="4" t="s">
        <v>182</v>
      </c>
      <c r="E221">
        <f>E219</f>
        <v>0.2</v>
      </c>
      <c r="F221" s="2" t="s">
        <v>188</v>
      </c>
      <c r="G221" s="13">
        <f>G219+G215</f>
        <v>1.5298816568047338</v>
      </c>
      <c r="H221" s="2" t="s">
        <v>188</v>
      </c>
    </row>
    <row r="224" spans="3:10" x14ac:dyDescent="0.2">
      <c r="C224" s="2" t="s">
        <v>194</v>
      </c>
      <c r="E224" s="2" t="s">
        <v>195</v>
      </c>
    </row>
    <row r="225" spans="3:9" x14ac:dyDescent="0.2">
      <c r="E225" s="2" t="s">
        <v>196</v>
      </c>
      <c r="G225" s="13">
        <f>10000/12</f>
        <v>833.33333333333337</v>
      </c>
      <c r="H225" s="2" t="s">
        <v>183</v>
      </c>
      <c r="I225" s="2" t="s">
        <v>197</v>
      </c>
    </row>
    <row r="226" spans="3:9" x14ac:dyDescent="0.2">
      <c r="E226" s="2" t="s">
        <v>198</v>
      </c>
      <c r="G226" s="13">
        <f>1000+51</f>
        <v>1051</v>
      </c>
      <c r="H226" s="2" t="s">
        <v>199</v>
      </c>
    </row>
    <row r="228" spans="3:9" x14ac:dyDescent="0.2">
      <c r="E228" s="2" t="s">
        <v>200</v>
      </c>
      <c r="G228" s="2" t="s">
        <v>173</v>
      </c>
    </row>
    <row r="229" spans="3:9" x14ac:dyDescent="0.2">
      <c r="C229" s="4" t="s">
        <v>170</v>
      </c>
    </row>
    <row r="230" spans="3:9" x14ac:dyDescent="0.2">
      <c r="C230" s="4" t="s">
        <v>169</v>
      </c>
      <c r="E230">
        <v>0</v>
      </c>
      <c r="F230" s="2" t="s">
        <v>201</v>
      </c>
      <c r="G230">
        <v>0</v>
      </c>
      <c r="H230" s="2" t="s">
        <v>201</v>
      </c>
    </row>
    <row r="231" spans="3:9" x14ac:dyDescent="0.2">
      <c r="C231" s="4" t="s">
        <v>175</v>
      </c>
      <c r="E231">
        <v>0</v>
      </c>
      <c r="F231" s="2" t="s">
        <v>201</v>
      </c>
      <c r="G231">
        <f>(120000+20000)/2*3%</f>
        <v>2100</v>
      </c>
      <c r="H231" s="2" t="s">
        <v>201</v>
      </c>
    </row>
    <row r="232" spans="3:9" x14ac:dyDescent="0.2">
      <c r="C232" s="4" t="s">
        <v>177</v>
      </c>
      <c r="E232">
        <v>0</v>
      </c>
      <c r="F232" s="2" t="s">
        <v>201</v>
      </c>
      <c r="G232">
        <v>439</v>
      </c>
      <c r="H232" s="2" t="s">
        <v>201</v>
      </c>
    </row>
    <row r="233" spans="3:9" x14ac:dyDescent="0.2">
      <c r="C233" s="4"/>
    </row>
    <row r="234" spans="3:9" x14ac:dyDescent="0.2">
      <c r="C234" s="4" t="s">
        <v>178</v>
      </c>
      <c r="E234">
        <f>SUM(E230:E232)</f>
        <v>0</v>
      </c>
      <c r="F234" s="2" t="s">
        <v>201</v>
      </c>
      <c r="G234" s="32">
        <f>SUM(G230:G232)</f>
        <v>2539</v>
      </c>
      <c r="H234" s="2" t="s">
        <v>201</v>
      </c>
    </row>
    <row r="235" spans="3:9" x14ac:dyDescent="0.2">
      <c r="C235" s="4"/>
      <c r="E235">
        <f>E234/1051</f>
        <v>0</v>
      </c>
      <c r="F235" s="2" t="s">
        <v>59</v>
      </c>
      <c r="G235" s="13">
        <f>G234/1051</f>
        <v>2.4157944814462415</v>
      </c>
      <c r="H235" s="2" t="s">
        <v>59</v>
      </c>
    </row>
    <row r="236" spans="3:9" x14ac:dyDescent="0.2">
      <c r="C236" s="4" t="s">
        <v>179</v>
      </c>
    </row>
    <row r="237" spans="3:9" x14ac:dyDescent="0.2">
      <c r="C237" s="4"/>
    </row>
    <row r="238" spans="3:9" x14ac:dyDescent="0.2">
      <c r="C238" s="4" t="s">
        <v>202</v>
      </c>
      <c r="E238">
        <f>(120000-20000)/10000</f>
        <v>10</v>
      </c>
      <c r="F238" s="2" t="s">
        <v>59</v>
      </c>
      <c r="G238">
        <f>E238</f>
        <v>10</v>
      </c>
      <c r="H238" s="2" t="s">
        <v>59</v>
      </c>
    </row>
    <row r="239" spans="3:9" x14ac:dyDescent="0.2">
      <c r="C239" s="4" t="s">
        <v>180</v>
      </c>
      <c r="E239">
        <f>11.9*1.1+0.119*3</f>
        <v>13.447000000000001</v>
      </c>
      <c r="F239" s="2" t="s">
        <v>59</v>
      </c>
      <c r="G239">
        <f>E239</f>
        <v>13.447000000000001</v>
      </c>
      <c r="H239" s="2" t="s">
        <v>59</v>
      </c>
    </row>
    <row r="240" spans="3:9" x14ac:dyDescent="0.2">
      <c r="C240" s="4" t="s">
        <v>181</v>
      </c>
      <c r="E240">
        <v>7.4</v>
      </c>
      <c r="F240" s="2" t="s">
        <v>59</v>
      </c>
      <c r="G240">
        <f>E240</f>
        <v>7.4</v>
      </c>
      <c r="H240" s="2" t="s">
        <v>59</v>
      </c>
    </row>
    <row r="241" spans="2:12" x14ac:dyDescent="0.2">
      <c r="C241" s="4"/>
    </row>
    <row r="242" spans="2:12" x14ac:dyDescent="0.2">
      <c r="C242" s="4" t="s">
        <v>182</v>
      </c>
      <c r="E242" s="13">
        <f>SUM(E235:E240)</f>
        <v>30.847000000000001</v>
      </c>
      <c r="F242" s="2" t="s">
        <v>59</v>
      </c>
      <c r="G242" s="13">
        <f>SUM(G235:G240)</f>
        <v>33.262794481446242</v>
      </c>
      <c r="H242" s="2" t="s">
        <v>59</v>
      </c>
    </row>
    <row r="243" spans="2:12" x14ac:dyDescent="0.2">
      <c r="C243" s="4"/>
    </row>
    <row r="244" spans="2:12" x14ac:dyDescent="0.2">
      <c r="C244" s="4"/>
    </row>
    <row r="245" spans="2:12" x14ac:dyDescent="0.2">
      <c r="C245" s="4"/>
    </row>
    <row r="246" spans="2:12" x14ac:dyDescent="0.2">
      <c r="C246" s="4"/>
    </row>
    <row r="247" spans="2:12" x14ac:dyDescent="0.2">
      <c r="B247" s="2" t="s">
        <v>74</v>
      </c>
      <c r="C247" s="5" t="s">
        <v>76</v>
      </c>
    </row>
    <row r="248" spans="2:12" ht="13.5" customHeight="1" x14ac:dyDescent="0.2">
      <c r="B248" s="5"/>
      <c r="C248" s="5"/>
    </row>
    <row r="249" spans="2:12" ht="13.5" customHeight="1" x14ac:dyDescent="0.2">
      <c r="B249" s="5"/>
      <c r="C249" s="2" t="s">
        <v>203</v>
      </c>
      <c r="E249">
        <v>100</v>
      </c>
      <c r="F249" s="2" t="s">
        <v>204</v>
      </c>
    </row>
    <row r="250" spans="2:12" ht="13.5" customHeight="1" x14ac:dyDescent="0.2">
      <c r="B250" s="5"/>
      <c r="C250" s="5"/>
    </row>
    <row r="251" spans="2:12" ht="13.5" customHeight="1" x14ac:dyDescent="0.2">
      <c r="B251" s="5"/>
      <c r="C251" s="2" t="s">
        <v>205</v>
      </c>
      <c r="E251" s="13">
        <f>E189</f>
        <v>97.54</v>
      </c>
      <c r="F251" s="2" t="s">
        <v>59</v>
      </c>
      <c r="G251">
        <v>51</v>
      </c>
      <c r="H251" s="2" t="s">
        <v>206</v>
      </c>
      <c r="J251" s="32">
        <f>G251*E251</f>
        <v>4974.54</v>
      </c>
      <c r="K251" s="2" t="s">
        <v>209</v>
      </c>
    </row>
    <row r="252" spans="2:12" ht="13.5" customHeight="1" x14ac:dyDescent="0.2">
      <c r="B252" s="5"/>
      <c r="C252" s="2" t="s">
        <v>207</v>
      </c>
      <c r="E252" s="13">
        <f>E205</f>
        <v>10</v>
      </c>
      <c r="F252" s="2" t="s">
        <v>187</v>
      </c>
      <c r="G252">
        <v>100</v>
      </c>
      <c r="H252" s="2" t="s">
        <v>208</v>
      </c>
      <c r="J252" s="13">
        <f>G252*E252</f>
        <v>1000</v>
      </c>
      <c r="K252" s="2" t="s">
        <v>209</v>
      </c>
    </row>
    <row r="253" spans="2:12" ht="13.5" customHeight="1" x14ac:dyDescent="0.2">
      <c r="B253" s="5"/>
      <c r="C253" s="2" t="s">
        <v>194</v>
      </c>
      <c r="E253" s="13">
        <f>E242</f>
        <v>30.847000000000001</v>
      </c>
      <c r="F253" s="2" t="s">
        <v>59</v>
      </c>
      <c r="G253">
        <v>51</v>
      </c>
      <c r="H253" s="2" t="s">
        <v>210</v>
      </c>
      <c r="J253" s="13">
        <f>G253*E253*3</f>
        <v>4719.5910000000003</v>
      </c>
      <c r="K253" s="2" t="s">
        <v>209</v>
      </c>
      <c r="L253" s="2" t="s">
        <v>211</v>
      </c>
    </row>
    <row r="254" spans="2:12" ht="13.5" customHeight="1" x14ac:dyDescent="0.2">
      <c r="B254" s="5"/>
      <c r="C254" s="2" t="s">
        <v>212</v>
      </c>
      <c r="E254" s="13">
        <f>E221</f>
        <v>0.2</v>
      </c>
      <c r="F254" s="2" t="s">
        <v>213</v>
      </c>
      <c r="G254">
        <v>1000</v>
      </c>
      <c r="H254" s="2" t="s">
        <v>215</v>
      </c>
      <c r="J254" s="13">
        <f>G254*E254*3</f>
        <v>600</v>
      </c>
      <c r="K254" s="2" t="s">
        <v>209</v>
      </c>
      <c r="L254" s="2" t="s">
        <v>214</v>
      </c>
    </row>
    <row r="255" spans="2:12" ht="13.5" customHeight="1" x14ac:dyDescent="0.2">
      <c r="B255" s="5"/>
      <c r="C255" s="2"/>
      <c r="E255" s="13"/>
      <c r="F255" s="2"/>
      <c r="H255" s="2"/>
      <c r="J255" s="13"/>
      <c r="K255" s="2"/>
      <c r="L255" s="2"/>
    </row>
    <row r="256" spans="2:12" ht="13.5" customHeight="1" x14ac:dyDescent="0.2">
      <c r="B256" s="5"/>
      <c r="C256" s="2" t="s">
        <v>216</v>
      </c>
      <c r="E256" s="13">
        <v>25</v>
      </c>
      <c r="F256" s="2" t="s">
        <v>59</v>
      </c>
      <c r="G256">
        <f>(51+3*51)*1.2</f>
        <v>244.79999999999998</v>
      </c>
      <c r="H256" s="2" t="s">
        <v>138</v>
      </c>
      <c r="J256" s="13">
        <f>G256*E256</f>
        <v>6120</v>
      </c>
      <c r="K256" s="2" t="s">
        <v>209</v>
      </c>
      <c r="L256" s="2"/>
    </row>
    <row r="257" spans="2:17" ht="13.5" customHeight="1" x14ac:dyDescent="0.2">
      <c r="B257" s="5"/>
      <c r="C257" s="2"/>
      <c r="E257" s="13"/>
      <c r="F257" s="2"/>
      <c r="H257" s="2"/>
      <c r="J257" s="13"/>
      <c r="K257" s="2"/>
      <c r="L257" s="2"/>
    </row>
    <row r="258" spans="2:17" ht="13.5" customHeight="1" x14ac:dyDescent="0.2">
      <c r="B258" s="5"/>
      <c r="C258" s="2" t="s">
        <v>217</v>
      </c>
      <c r="E258" s="13">
        <v>85</v>
      </c>
      <c r="F258" s="2" t="s">
        <v>59</v>
      </c>
      <c r="G258">
        <f>1.5*51</f>
        <v>76.5</v>
      </c>
      <c r="H258" s="2" t="s">
        <v>138</v>
      </c>
      <c r="J258" s="13">
        <f>G258*E258</f>
        <v>6502.5</v>
      </c>
      <c r="K258" s="2" t="s">
        <v>209</v>
      </c>
      <c r="L258" s="2"/>
    </row>
    <row r="259" spans="2:17" ht="13.5" customHeight="1" x14ac:dyDescent="0.2">
      <c r="B259" s="5"/>
      <c r="C259" s="5"/>
      <c r="J259" s="13"/>
    </row>
    <row r="260" spans="2:17" ht="13.5" customHeight="1" x14ac:dyDescent="0.2">
      <c r="B260" s="5"/>
      <c r="C260" s="2" t="s">
        <v>218</v>
      </c>
      <c r="E260" s="13">
        <v>85</v>
      </c>
      <c r="F260" s="2" t="s">
        <v>59</v>
      </c>
      <c r="G260">
        <v>60</v>
      </c>
      <c r="H260" s="2" t="s">
        <v>138</v>
      </c>
      <c r="J260" s="13">
        <f>G260*E260</f>
        <v>5100</v>
      </c>
      <c r="K260" s="2" t="s">
        <v>209</v>
      </c>
    </row>
    <row r="261" spans="2:17" x14ac:dyDescent="0.2">
      <c r="B261" s="5"/>
      <c r="C261" s="17"/>
      <c r="D261" s="15"/>
      <c r="E261" s="15"/>
      <c r="F261" s="15"/>
      <c r="G261" s="15"/>
      <c r="H261" s="15"/>
      <c r="I261" s="15"/>
      <c r="J261" s="33"/>
      <c r="K261" s="15"/>
      <c r="L261" s="15"/>
      <c r="M261" s="15"/>
      <c r="N261" s="15"/>
      <c r="O261" s="15"/>
      <c r="P261" s="15"/>
      <c r="Q261" s="15"/>
    </row>
    <row r="262" spans="2:17" x14ac:dyDescent="0.2">
      <c r="B262" s="5"/>
      <c r="C262" s="34" t="s">
        <v>219</v>
      </c>
      <c r="D262" s="15"/>
      <c r="E262" s="15"/>
      <c r="F262" s="15"/>
      <c r="G262" s="15"/>
      <c r="H262" s="15"/>
      <c r="I262" s="15"/>
      <c r="J262" s="33">
        <f>SUM(J251:J260)</f>
        <v>29016.631000000001</v>
      </c>
      <c r="K262" s="34" t="s">
        <v>209</v>
      </c>
      <c r="L262" s="15"/>
      <c r="M262" s="15"/>
      <c r="N262" s="15"/>
      <c r="O262" s="15"/>
      <c r="P262" s="15"/>
      <c r="Q262" s="15"/>
    </row>
    <row r="263" spans="2:17" x14ac:dyDescent="0.2">
      <c r="B263" s="5"/>
      <c r="C263" s="17"/>
      <c r="D263" s="15"/>
      <c r="E263" s="15"/>
      <c r="F263" s="15"/>
      <c r="G263" s="15"/>
      <c r="H263" s="15"/>
      <c r="I263" s="15"/>
      <c r="J263" s="33"/>
      <c r="K263" s="15"/>
      <c r="L263" s="15"/>
      <c r="M263" s="15"/>
      <c r="N263" s="15"/>
      <c r="O263" s="15"/>
      <c r="P263" s="15"/>
      <c r="Q263" s="15"/>
    </row>
    <row r="264" spans="2:17" x14ac:dyDescent="0.2">
      <c r="J264" s="13"/>
    </row>
    <row r="265" spans="2:17" x14ac:dyDescent="0.2">
      <c r="B265" s="2" t="s">
        <v>75</v>
      </c>
      <c r="C265" s="5" t="s">
        <v>77</v>
      </c>
    </row>
    <row r="266" spans="2:17" x14ac:dyDescent="0.2">
      <c r="C266" s="5" t="s">
        <v>78</v>
      </c>
    </row>
    <row r="269" spans="2:17" x14ac:dyDescent="0.2">
      <c r="C269" s="2">
        <v>45000</v>
      </c>
      <c r="D269" t="s">
        <v>131</v>
      </c>
      <c r="L269" s="13"/>
      <c r="M269" s="2"/>
    </row>
    <row r="271" spans="2:17" x14ac:dyDescent="0.2">
      <c r="C271" s="14" t="s">
        <v>220</v>
      </c>
      <c r="J271" s="13">
        <f>J262</f>
        <v>29016.631000000001</v>
      </c>
      <c r="K271" s="2" t="s">
        <v>209</v>
      </c>
      <c r="L271" s="13"/>
      <c r="M271" s="2"/>
    </row>
    <row r="272" spans="2:17" x14ac:dyDescent="0.2">
      <c r="C272" s="14"/>
      <c r="H272" s="2"/>
      <c r="J272" s="2"/>
      <c r="M272" s="2"/>
    </row>
    <row r="273" spans="3:17" x14ac:dyDescent="0.2">
      <c r="C273" s="2" t="s">
        <v>221</v>
      </c>
      <c r="J273">
        <f>7*5*30</f>
        <v>1050</v>
      </c>
      <c r="K273" s="2" t="s">
        <v>209</v>
      </c>
    </row>
    <row r="274" spans="3:17" s="4" customFormat="1" x14ac:dyDescent="0.2">
      <c r="L274" s="16"/>
    </row>
    <row r="275" spans="3:17" x14ac:dyDescent="0.2">
      <c r="C275" s="2" t="s">
        <v>222</v>
      </c>
      <c r="F275">
        <v>60</v>
      </c>
      <c r="G275" s="2" t="s">
        <v>138</v>
      </c>
      <c r="H275" s="2" t="s">
        <v>223</v>
      </c>
      <c r="J275">
        <f>60*25</f>
        <v>1500</v>
      </c>
      <c r="K275" s="2" t="s">
        <v>209</v>
      </c>
    </row>
    <row r="276" spans="3:17" x14ac:dyDescent="0.2">
      <c r="C276" s="14"/>
    </row>
    <row r="277" spans="3:17" x14ac:dyDescent="0.2">
      <c r="C277" s="2" t="s">
        <v>224</v>
      </c>
      <c r="D277" s="4"/>
      <c r="E277" s="4"/>
      <c r="F277" s="4"/>
      <c r="G277" s="4"/>
      <c r="H277" s="4"/>
      <c r="I277" s="4"/>
      <c r="J277" s="2">
        <v>2000</v>
      </c>
      <c r="K277" s="2" t="s">
        <v>209</v>
      </c>
      <c r="L277" s="4"/>
      <c r="M277" s="4"/>
      <c r="N277" s="4"/>
      <c r="O277" s="4"/>
      <c r="P277" s="4"/>
      <c r="Q277" s="4"/>
    </row>
    <row r="278" spans="3:17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16"/>
      <c r="Q278" s="4"/>
    </row>
    <row r="280" spans="3:17" x14ac:dyDescent="0.2">
      <c r="C280" s="2" t="s">
        <v>228</v>
      </c>
      <c r="J280" s="13">
        <f>SUM(J271:J277)</f>
        <v>33566.631000000001</v>
      </c>
      <c r="K280" s="2" t="s">
        <v>209</v>
      </c>
    </row>
    <row r="281" spans="3:17" x14ac:dyDescent="0.2">
      <c r="J281">
        <v>335</v>
      </c>
      <c r="K281" s="2" t="s">
        <v>187</v>
      </c>
    </row>
    <row r="283" spans="3:17" x14ac:dyDescent="0.2">
      <c r="C283" s="2" t="s">
        <v>226</v>
      </c>
      <c r="J283">
        <v>500</v>
      </c>
      <c r="K283" s="2" t="s">
        <v>187</v>
      </c>
    </row>
    <row r="284" spans="3:17" x14ac:dyDescent="0.2">
      <c r="C284" s="2" t="s">
        <v>229</v>
      </c>
      <c r="J284">
        <v>350</v>
      </c>
      <c r="K284" s="2" t="s">
        <v>187</v>
      </c>
    </row>
    <row r="285" spans="3:17" x14ac:dyDescent="0.2">
      <c r="C285" s="2" t="s">
        <v>227</v>
      </c>
      <c r="J285">
        <v>450</v>
      </c>
      <c r="K285" s="2" t="s">
        <v>187</v>
      </c>
    </row>
    <row r="288" spans="3:17" x14ac:dyDescent="0.2">
      <c r="C288" s="2"/>
      <c r="K288" s="2"/>
      <c r="L288" s="2"/>
    </row>
    <row r="289" spans="3:10" x14ac:dyDescent="0.2">
      <c r="C289" s="2"/>
      <c r="D289" s="2"/>
      <c r="H289" s="2"/>
      <c r="J289" s="2"/>
    </row>
    <row r="291" spans="3:10" x14ac:dyDescent="0.2">
      <c r="D291" s="2"/>
      <c r="H291" s="2"/>
      <c r="J291" s="2"/>
    </row>
  </sheetData>
  <pageMargins left="0.78740157499999996" right="0.78740157499999996" top="0.984251969" bottom="0.984251969" header="0.4921259845" footer="0.4921259845"/>
  <pageSetup paperSize="9" scale="6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B2:S285"/>
  <sheetViews>
    <sheetView topLeftCell="A267" zoomScale="190" zoomScaleNormal="190" workbookViewId="0">
      <selection activeCell="K288" sqref="K288"/>
    </sheetView>
  </sheetViews>
  <sheetFormatPr baseColWidth="10" defaultRowHeight="12.75" x14ac:dyDescent="0.2"/>
  <cols>
    <col min="1" max="1" width="0.5703125" customWidth="1"/>
    <col min="2" max="2" width="4" customWidth="1"/>
    <col min="5" max="5" width="12.85546875" customWidth="1"/>
    <col min="7" max="7" width="13" bestFit="1" customWidth="1"/>
  </cols>
  <sheetData>
    <row r="2" spans="2:15" x14ac:dyDescent="0.2">
      <c r="C2" t="s">
        <v>0</v>
      </c>
    </row>
    <row r="3" spans="2:15" x14ac:dyDescent="0.2">
      <c r="C3" t="s">
        <v>1</v>
      </c>
    </row>
    <row r="4" spans="2:15" x14ac:dyDescent="0.2">
      <c r="C4" t="s">
        <v>2</v>
      </c>
    </row>
    <row r="5" spans="2:15" x14ac:dyDescent="0.2">
      <c r="C5" t="s">
        <v>3</v>
      </c>
    </row>
    <row r="8" spans="2:15" s="4" customFormat="1" x14ac:dyDescent="0.2">
      <c r="B8" s="4" t="s">
        <v>101</v>
      </c>
      <c r="C8" s="4" t="s">
        <v>102</v>
      </c>
      <c r="L8"/>
      <c r="M8"/>
      <c r="N8"/>
      <c r="O8"/>
    </row>
    <row r="10" spans="2:15" x14ac:dyDescent="0.2">
      <c r="C10" s="14" t="s">
        <v>103</v>
      </c>
      <c r="G10" s="2"/>
    </row>
    <row r="11" spans="2:15" x14ac:dyDescent="0.2">
      <c r="C11" s="14" t="s">
        <v>104</v>
      </c>
      <c r="G11" s="2"/>
    </row>
    <row r="12" spans="2:15" x14ac:dyDescent="0.2">
      <c r="C12" s="14" t="s">
        <v>105</v>
      </c>
      <c r="G12" s="2"/>
    </row>
    <row r="13" spans="2:15" x14ac:dyDescent="0.2">
      <c r="C13" s="14" t="s">
        <v>106</v>
      </c>
      <c r="G13" s="2"/>
    </row>
    <row r="14" spans="2:15" x14ac:dyDescent="0.2">
      <c r="C14" s="14" t="s">
        <v>107</v>
      </c>
      <c r="G14" s="2"/>
    </row>
    <row r="15" spans="2:15" x14ac:dyDescent="0.2">
      <c r="C15" s="14" t="s">
        <v>108</v>
      </c>
      <c r="G15" s="2"/>
    </row>
    <row r="16" spans="2:15" x14ac:dyDescent="0.2">
      <c r="C16" s="14" t="s">
        <v>109</v>
      </c>
      <c r="G16" s="2"/>
    </row>
    <row r="17" spans="3:7" x14ac:dyDescent="0.2">
      <c r="C17" s="14" t="s">
        <v>110</v>
      </c>
      <c r="G17" s="2"/>
    </row>
    <row r="18" spans="3:7" x14ac:dyDescent="0.2">
      <c r="C18" s="14" t="s">
        <v>111</v>
      </c>
      <c r="G18" s="2"/>
    </row>
    <row r="19" spans="3:7" x14ac:dyDescent="0.2">
      <c r="C19" s="14" t="s">
        <v>112</v>
      </c>
      <c r="G19" s="2"/>
    </row>
    <row r="20" spans="3:7" x14ac:dyDescent="0.2">
      <c r="C20" s="14" t="s">
        <v>113</v>
      </c>
      <c r="G20" s="2"/>
    </row>
    <row r="21" spans="3:7" x14ac:dyDescent="0.2">
      <c r="C21" s="14" t="s">
        <v>114</v>
      </c>
      <c r="G21" s="2"/>
    </row>
    <row r="22" spans="3:7" x14ac:dyDescent="0.2">
      <c r="C22" s="14" t="s">
        <v>115</v>
      </c>
    </row>
    <row r="23" spans="3:7" x14ac:dyDescent="0.2">
      <c r="C23" s="14" t="s">
        <v>116</v>
      </c>
    </row>
    <row r="24" spans="3:7" x14ac:dyDescent="0.2">
      <c r="C24" s="14" t="s">
        <v>117</v>
      </c>
    </row>
    <row r="25" spans="3:7" x14ac:dyDescent="0.2">
      <c r="C25" s="14" t="s">
        <v>118</v>
      </c>
    </row>
    <row r="26" spans="3:7" x14ac:dyDescent="0.2">
      <c r="C26" s="14" t="s">
        <v>129</v>
      </c>
    </row>
    <row r="27" spans="3:7" x14ac:dyDescent="0.2">
      <c r="C27" s="14" t="s">
        <v>119</v>
      </c>
    </row>
    <row r="28" spans="3:7" x14ac:dyDescent="0.2">
      <c r="C28" s="14" t="s">
        <v>120</v>
      </c>
    </row>
    <row r="29" spans="3:7" x14ac:dyDescent="0.2">
      <c r="C29" s="14" t="s">
        <v>121</v>
      </c>
    </row>
    <row r="30" spans="3:7" x14ac:dyDescent="0.2">
      <c r="C30" s="14" t="s">
        <v>122</v>
      </c>
    </row>
    <row r="31" spans="3:7" x14ac:dyDescent="0.2">
      <c r="C31" s="14" t="s">
        <v>123</v>
      </c>
    </row>
    <row r="32" spans="3:7" x14ac:dyDescent="0.2">
      <c r="C32" s="14" t="s">
        <v>124</v>
      </c>
    </row>
    <row r="33" spans="2:15" x14ac:dyDescent="0.2">
      <c r="C33" s="14" t="s">
        <v>125</v>
      </c>
    </row>
    <row r="34" spans="2:15" x14ac:dyDescent="0.2">
      <c r="C34" s="14" t="s">
        <v>126</v>
      </c>
    </row>
    <row r="35" spans="2:15" x14ac:dyDescent="0.2">
      <c r="C35" s="14" t="s">
        <v>127</v>
      </c>
    </row>
    <row r="36" spans="2:15" x14ac:dyDescent="0.2">
      <c r="C36" s="14" t="s">
        <v>128</v>
      </c>
    </row>
    <row r="37" spans="2:15" x14ac:dyDescent="0.2">
      <c r="C37" s="14" t="s">
        <v>130</v>
      </c>
    </row>
    <row r="38" spans="2:15" x14ac:dyDescent="0.2">
      <c r="C38" s="14"/>
    </row>
    <row r="39" spans="2:15" s="4" customFormat="1" x14ac:dyDescent="0.2">
      <c r="B39" s="4" t="s">
        <v>4</v>
      </c>
      <c r="C39" s="4" t="s">
        <v>25</v>
      </c>
      <c r="L39"/>
      <c r="M39"/>
      <c r="N39"/>
      <c r="O39"/>
    </row>
    <row r="41" spans="2:15" ht="25.5" x14ac:dyDescent="0.2">
      <c r="C41" s="4" t="s">
        <v>5</v>
      </c>
      <c r="D41" s="4" t="s">
        <v>6</v>
      </c>
      <c r="E41" s="4" t="s">
        <v>7</v>
      </c>
      <c r="F41" s="12" t="s">
        <v>97</v>
      </c>
      <c r="G41" s="12" t="s">
        <v>98</v>
      </c>
      <c r="H41" s="12" t="s">
        <v>99</v>
      </c>
      <c r="I41" s="12" t="s">
        <v>100</v>
      </c>
      <c r="K41" s="1"/>
    </row>
    <row r="42" spans="2:15" x14ac:dyDescent="0.2">
      <c r="C42" s="11" t="s">
        <v>87</v>
      </c>
      <c r="D42" t="s">
        <v>13</v>
      </c>
      <c r="E42" s="20">
        <v>15</v>
      </c>
      <c r="F42" s="20">
        <v>1.5</v>
      </c>
      <c r="G42" t="s">
        <v>22</v>
      </c>
      <c r="H42">
        <v>35</v>
      </c>
      <c r="I42">
        <f>IF(E42&lt;5,$F$67,IF(H42&lt;40,$F$68,$F$66))</f>
        <v>100</v>
      </c>
      <c r="K42" s="1"/>
      <c r="M42" s="13"/>
    </row>
    <row r="43" spans="2:15" x14ac:dyDescent="0.2">
      <c r="C43" s="11" t="s">
        <v>87</v>
      </c>
      <c r="D43" t="s">
        <v>9</v>
      </c>
      <c r="E43" s="20">
        <v>7</v>
      </c>
      <c r="F43" s="20">
        <v>0.5</v>
      </c>
      <c r="G43" t="s">
        <v>22</v>
      </c>
      <c r="H43">
        <v>32</v>
      </c>
      <c r="I43">
        <f t="shared" ref="I43:I55" si="0">IF(E43&lt;5,$F$67,IF(H43&lt;40,$F$68,$F$66))</f>
        <v>100</v>
      </c>
      <c r="K43" s="22"/>
      <c r="L43" s="23" t="s">
        <v>91</v>
      </c>
      <c r="M43" s="7">
        <f>+AVERAGE(F42:F55)</f>
        <v>4.0357142857142856</v>
      </c>
      <c r="N43" s="24" t="s">
        <v>67</v>
      </c>
      <c r="O43" s="2" t="s">
        <v>83</v>
      </c>
    </row>
    <row r="44" spans="2:15" x14ac:dyDescent="0.2">
      <c r="C44" s="11" t="s">
        <v>87</v>
      </c>
      <c r="D44" t="s">
        <v>17</v>
      </c>
      <c r="E44" s="20">
        <v>14</v>
      </c>
      <c r="F44" s="20">
        <v>8.5</v>
      </c>
      <c r="G44" t="s">
        <v>22</v>
      </c>
      <c r="H44">
        <v>33</v>
      </c>
      <c r="I44">
        <f t="shared" si="0"/>
        <v>100</v>
      </c>
      <c r="K44" s="1"/>
      <c r="L44" s="6"/>
    </row>
    <row r="45" spans="2:15" x14ac:dyDescent="0.2">
      <c r="C45" s="11" t="s">
        <v>87</v>
      </c>
      <c r="D45" t="s">
        <v>18</v>
      </c>
      <c r="E45" s="20">
        <v>6</v>
      </c>
      <c r="F45" s="20">
        <v>5</v>
      </c>
      <c r="G45" t="s">
        <v>22</v>
      </c>
      <c r="H45">
        <v>54</v>
      </c>
      <c r="I45">
        <f t="shared" si="0"/>
        <v>115</v>
      </c>
      <c r="K45" s="1"/>
      <c r="L45" s="19" t="s">
        <v>140</v>
      </c>
      <c r="M45" s="20">
        <f>+SUMPRODUCT(E42:E55,F42:F55)/E57</f>
        <v>4.46</v>
      </c>
      <c r="N45" s="2" t="s">
        <v>67</v>
      </c>
      <c r="O45" s="2" t="s">
        <v>84</v>
      </c>
    </row>
    <row r="46" spans="2:15" x14ac:dyDescent="0.2">
      <c r="C46" s="11" t="s">
        <v>87</v>
      </c>
      <c r="D46" t="s">
        <v>12</v>
      </c>
      <c r="E46" s="20">
        <v>6</v>
      </c>
      <c r="F46" s="20">
        <v>2</v>
      </c>
      <c r="G46" t="s">
        <v>22</v>
      </c>
      <c r="H46">
        <v>57</v>
      </c>
      <c r="I46">
        <f t="shared" si="0"/>
        <v>115</v>
      </c>
      <c r="K46" s="1"/>
      <c r="M46" s="13"/>
    </row>
    <row r="47" spans="2:15" x14ac:dyDescent="0.2">
      <c r="C47" s="11" t="s">
        <v>87</v>
      </c>
      <c r="D47" t="s">
        <v>15</v>
      </c>
      <c r="E47" s="20">
        <v>2</v>
      </c>
      <c r="F47" s="20">
        <v>5</v>
      </c>
      <c r="G47" t="s">
        <v>22</v>
      </c>
      <c r="H47">
        <v>50</v>
      </c>
      <c r="I47">
        <f t="shared" si="0"/>
        <v>85</v>
      </c>
      <c r="K47" s="1"/>
    </row>
    <row r="48" spans="2:15" x14ac:dyDescent="0.2">
      <c r="C48" s="11" t="s">
        <v>87</v>
      </c>
      <c r="D48" t="s">
        <v>16</v>
      </c>
      <c r="E48" s="20">
        <v>4</v>
      </c>
      <c r="F48" s="20">
        <v>5</v>
      </c>
      <c r="G48" t="s">
        <v>22</v>
      </c>
      <c r="H48">
        <v>33</v>
      </c>
      <c r="I48">
        <f t="shared" si="0"/>
        <v>85</v>
      </c>
      <c r="K48" s="22"/>
      <c r="L48" s="23" t="s">
        <v>90</v>
      </c>
      <c r="M48" s="7">
        <f>+AVERAGE(H42:H55)</f>
        <v>43.357142857142854</v>
      </c>
      <c r="N48" s="22" t="s">
        <v>79</v>
      </c>
      <c r="O48" s="2" t="s">
        <v>83</v>
      </c>
    </row>
    <row r="49" spans="2:15" x14ac:dyDescent="0.2">
      <c r="C49" s="11" t="s">
        <v>87</v>
      </c>
      <c r="D49" t="s">
        <v>19</v>
      </c>
      <c r="E49" s="20">
        <v>4</v>
      </c>
      <c r="F49" s="20">
        <v>6</v>
      </c>
      <c r="G49" t="s">
        <v>22</v>
      </c>
      <c r="H49">
        <v>42</v>
      </c>
      <c r="I49">
        <f t="shared" si="0"/>
        <v>85</v>
      </c>
      <c r="K49" s="1"/>
    </row>
    <row r="50" spans="2:15" x14ac:dyDescent="0.2">
      <c r="C50" s="11" t="s">
        <v>87</v>
      </c>
      <c r="D50" t="s">
        <v>20</v>
      </c>
      <c r="E50" s="20">
        <v>7</v>
      </c>
      <c r="F50" s="20">
        <v>5</v>
      </c>
      <c r="G50" t="s">
        <v>22</v>
      </c>
      <c r="H50">
        <v>44</v>
      </c>
      <c r="I50">
        <f t="shared" si="0"/>
        <v>115</v>
      </c>
      <c r="K50" s="1"/>
      <c r="L50" s="6" t="s">
        <v>86</v>
      </c>
      <c r="M50" s="20">
        <f>+SUMPRODUCT(E42:E55,H42:H55)/E57</f>
        <v>42.69</v>
      </c>
      <c r="N50" t="s">
        <v>79</v>
      </c>
      <c r="O50" s="2" t="s">
        <v>84</v>
      </c>
    </row>
    <row r="51" spans="2:15" x14ac:dyDescent="0.2">
      <c r="C51" s="11" t="s">
        <v>87</v>
      </c>
      <c r="D51" t="s">
        <v>21</v>
      </c>
      <c r="E51" s="20">
        <v>9</v>
      </c>
      <c r="F51" s="20">
        <v>2</v>
      </c>
      <c r="G51" t="s">
        <v>22</v>
      </c>
      <c r="H51">
        <v>57</v>
      </c>
      <c r="I51">
        <f t="shared" si="0"/>
        <v>115</v>
      </c>
      <c r="K51" s="1"/>
    </row>
    <row r="52" spans="2:15" x14ac:dyDescent="0.2">
      <c r="C52" s="11" t="s">
        <v>87</v>
      </c>
      <c r="D52" t="s">
        <v>10</v>
      </c>
      <c r="E52" s="20">
        <v>2</v>
      </c>
      <c r="F52" s="20">
        <v>1</v>
      </c>
      <c r="G52" t="s">
        <v>22</v>
      </c>
      <c r="H52">
        <v>34</v>
      </c>
      <c r="I52">
        <f t="shared" si="0"/>
        <v>85</v>
      </c>
      <c r="K52" s="1"/>
    </row>
    <row r="53" spans="2:15" x14ac:dyDescent="0.2">
      <c r="C53" s="11" t="s">
        <v>87</v>
      </c>
      <c r="D53" t="s">
        <v>14</v>
      </c>
      <c r="E53" s="20">
        <v>6</v>
      </c>
      <c r="F53" s="20">
        <v>3</v>
      </c>
      <c r="G53" t="s">
        <v>22</v>
      </c>
      <c r="H53">
        <v>39</v>
      </c>
      <c r="I53">
        <f t="shared" si="0"/>
        <v>100</v>
      </c>
      <c r="K53" s="22"/>
      <c r="L53" s="23" t="s">
        <v>88</v>
      </c>
      <c r="M53" s="8">
        <f>+AVERAGE(I42:I55)</f>
        <v>102.14285714285714</v>
      </c>
      <c r="N53" s="24" t="s">
        <v>92</v>
      </c>
      <c r="O53" s="2" t="s">
        <v>93</v>
      </c>
    </row>
    <row r="54" spans="2:15" x14ac:dyDescent="0.2">
      <c r="C54" s="11" t="s">
        <v>87</v>
      </c>
      <c r="D54" t="s">
        <v>8</v>
      </c>
      <c r="E54" s="20">
        <v>5</v>
      </c>
      <c r="F54" s="20">
        <v>3</v>
      </c>
      <c r="G54" t="s">
        <v>22</v>
      </c>
      <c r="H54">
        <v>49</v>
      </c>
      <c r="I54">
        <f t="shared" si="0"/>
        <v>115</v>
      </c>
      <c r="K54" s="1"/>
      <c r="L54" s="6"/>
    </row>
    <row r="55" spans="2:15" x14ac:dyDescent="0.2">
      <c r="C55" s="11" t="s">
        <v>87</v>
      </c>
      <c r="D55" t="s">
        <v>11</v>
      </c>
      <c r="E55" s="20">
        <v>13</v>
      </c>
      <c r="F55" s="20">
        <v>9</v>
      </c>
      <c r="G55" t="s">
        <v>22</v>
      </c>
      <c r="H55">
        <v>48</v>
      </c>
      <c r="I55">
        <f t="shared" si="0"/>
        <v>115</v>
      </c>
      <c r="K55" s="1"/>
      <c r="L55" s="19" t="s">
        <v>89</v>
      </c>
      <c r="M55" s="20">
        <f>+SUMPRODUCT(E42:E55,I42:I55)/E57</f>
        <v>105.1</v>
      </c>
      <c r="N55" s="2" t="s">
        <v>92</v>
      </c>
      <c r="O55" s="2" t="s">
        <v>94</v>
      </c>
    </row>
    <row r="56" spans="2:15" x14ac:dyDescent="0.2">
      <c r="K56" s="1"/>
      <c r="L56" s="1"/>
      <c r="M56" s="1"/>
      <c r="N56" s="1"/>
      <c r="O56" s="1"/>
    </row>
    <row r="57" spans="2:15" x14ac:dyDescent="0.2">
      <c r="C57" s="10" t="s">
        <v>81</v>
      </c>
      <c r="E57">
        <f>+SUM(E42:E55)</f>
        <v>100</v>
      </c>
      <c r="F57" s="5" t="s">
        <v>82</v>
      </c>
      <c r="K57" s="1"/>
      <c r="L57" s="1"/>
      <c r="M57" s="1"/>
      <c r="N57" s="1"/>
      <c r="O57" s="1"/>
    </row>
    <row r="58" spans="2:15" x14ac:dyDescent="0.2">
      <c r="C58" s="21" t="s">
        <v>132</v>
      </c>
      <c r="E58">
        <f>+COUNT(E42:E55)</f>
        <v>14</v>
      </c>
      <c r="F58" s="2" t="s">
        <v>133</v>
      </c>
    </row>
    <row r="59" spans="2:15" x14ac:dyDescent="0.2">
      <c r="C59" s="1"/>
      <c r="F59" s="5"/>
    </row>
    <row r="60" spans="2:15" x14ac:dyDescent="0.2">
      <c r="C60" s="1"/>
    </row>
    <row r="62" spans="2:15" s="4" customFormat="1" x14ac:dyDescent="0.2">
      <c r="B62" s="4" t="s">
        <v>24</v>
      </c>
      <c r="C62" s="4" t="s">
        <v>47</v>
      </c>
    </row>
    <row r="63" spans="2:15" s="4" customFormat="1" x14ac:dyDescent="0.2">
      <c r="C63" s="4" t="s">
        <v>26</v>
      </c>
    </row>
    <row r="64" spans="2:15" x14ac:dyDescent="0.2">
      <c r="C64" s="2"/>
    </row>
    <row r="65" spans="2:9" x14ac:dyDescent="0.2">
      <c r="B65" s="4" t="s">
        <v>56</v>
      </c>
      <c r="C65" s="4" t="s">
        <v>27</v>
      </c>
    </row>
    <row r="66" spans="2:9" x14ac:dyDescent="0.2">
      <c r="B66" s="4"/>
      <c r="C66" s="3" t="s">
        <v>23</v>
      </c>
      <c r="F66">
        <v>115</v>
      </c>
      <c r="G66" s="5" t="s">
        <v>63</v>
      </c>
    </row>
    <row r="67" spans="2:9" x14ac:dyDescent="0.2">
      <c r="B67" s="4"/>
      <c r="C67" s="4" t="s">
        <v>96</v>
      </c>
      <c r="F67" s="20">
        <v>85</v>
      </c>
      <c r="G67" s="5" t="s">
        <v>63</v>
      </c>
    </row>
    <row r="68" spans="2:9" x14ac:dyDescent="0.2">
      <c r="C68" s="9" t="s">
        <v>95</v>
      </c>
      <c r="F68" s="20">
        <v>100</v>
      </c>
      <c r="G68" t="s">
        <v>63</v>
      </c>
    </row>
    <row r="69" spans="2:9" x14ac:dyDescent="0.2">
      <c r="C69" t="s">
        <v>28</v>
      </c>
      <c r="F69">
        <v>326000</v>
      </c>
      <c r="G69" t="s">
        <v>29</v>
      </c>
    </row>
    <row r="70" spans="2:9" x14ac:dyDescent="0.2">
      <c r="C70" t="s">
        <v>30</v>
      </c>
      <c r="F70">
        <v>75000</v>
      </c>
      <c r="G70" t="s">
        <v>29</v>
      </c>
    </row>
    <row r="71" spans="2:9" x14ac:dyDescent="0.2">
      <c r="C71" t="s">
        <v>31</v>
      </c>
      <c r="F71">
        <v>3</v>
      </c>
      <c r="G71" t="s">
        <v>32</v>
      </c>
    </row>
    <row r="72" spans="2:9" x14ac:dyDescent="0.2">
      <c r="C72" t="s">
        <v>33</v>
      </c>
      <c r="F72">
        <v>97</v>
      </c>
      <c r="G72" t="s">
        <v>34</v>
      </c>
    </row>
    <row r="73" spans="2:9" x14ac:dyDescent="0.2">
      <c r="C73" t="s">
        <v>35</v>
      </c>
      <c r="F73">
        <v>32</v>
      </c>
      <c r="G73" t="s">
        <v>36</v>
      </c>
    </row>
    <row r="74" spans="2:9" x14ac:dyDescent="0.2">
      <c r="C74" t="s">
        <v>37</v>
      </c>
      <c r="F74" t="s">
        <v>38</v>
      </c>
      <c r="G74" t="s">
        <v>38</v>
      </c>
    </row>
    <row r="75" spans="2:9" x14ac:dyDescent="0.2">
      <c r="C75" t="s">
        <v>39</v>
      </c>
      <c r="F75">
        <v>58</v>
      </c>
      <c r="G75" t="s">
        <v>40</v>
      </c>
      <c r="H75">
        <v>1.1000000000000001</v>
      </c>
      <c r="I75" s="5" t="s">
        <v>85</v>
      </c>
    </row>
    <row r="76" spans="2:9" x14ac:dyDescent="0.2">
      <c r="C76" t="s">
        <v>41</v>
      </c>
      <c r="F76">
        <v>0.57999999999999996</v>
      </c>
      <c r="G76" t="s">
        <v>40</v>
      </c>
      <c r="H76">
        <v>3</v>
      </c>
      <c r="I76" s="5" t="s">
        <v>85</v>
      </c>
    </row>
    <row r="77" spans="2:9" x14ac:dyDescent="0.2">
      <c r="C77" t="s">
        <v>42</v>
      </c>
      <c r="F77">
        <v>10</v>
      </c>
      <c r="G77" t="s">
        <v>43</v>
      </c>
    </row>
    <row r="78" spans="2:9" x14ac:dyDescent="0.2">
      <c r="C78" t="s">
        <v>44</v>
      </c>
      <c r="F78">
        <v>3000</v>
      </c>
      <c r="G78" t="s">
        <v>45</v>
      </c>
    </row>
    <row r="79" spans="2:9" x14ac:dyDescent="0.2">
      <c r="C79" t="s">
        <v>46</v>
      </c>
      <c r="F79">
        <v>300</v>
      </c>
      <c r="G79" t="s">
        <v>45</v>
      </c>
    </row>
    <row r="82" spans="2:7" x14ac:dyDescent="0.2">
      <c r="B82" s="4" t="s">
        <v>56</v>
      </c>
      <c r="C82" s="4" t="s">
        <v>48</v>
      </c>
    </row>
    <row r="83" spans="2:7" x14ac:dyDescent="0.2">
      <c r="C83" t="s">
        <v>28</v>
      </c>
      <c r="F83">
        <v>79000</v>
      </c>
      <c r="G83" t="s">
        <v>29</v>
      </c>
    </row>
    <row r="84" spans="2:7" x14ac:dyDescent="0.2">
      <c r="C84" t="s">
        <v>30</v>
      </c>
      <c r="F84">
        <v>0</v>
      </c>
      <c r="G84" t="s">
        <v>29</v>
      </c>
    </row>
    <row r="85" spans="2:7" x14ac:dyDescent="0.2">
      <c r="C85" t="s">
        <v>31</v>
      </c>
      <c r="F85">
        <v>3</v>
      </c>
      <c r="G85" t="s">
        <v>32</v>
      </c>
    </row>
    <row r="86" spans="2:7" x14ac:dyDescent="0.2">
      <c r="C86" t="s">
        <v>33</v>
      </c>
      <c r="F86">
        <v>0</v>
      </c>
      <c r="G86" t="s">
        <v>34</v>
      </c>
    </row>
    <row r="87" spans="2:7" x14ac:dyDescent="0.2">
      <c r="C87" t="s">
        <v>35</v>
      </c>
      <c r="F87">
        <v>10</v>
      </c>
      <c r="G87" t="s">
        <v>49</v>
      </c>
    </row>
    <row r="88" spans="2:7" x14ac:dyDescent="0.2">
      <c r="C88" t="s">
        <v>37</v>
      </c>
      <c r="F88" t="s">
        <v>38</v>
      </c>
      <c r="G88" t="s">
        <v>38</v>
      </c>
    </row>
    <row r="89" spans="2:7" x14ac:dyDescent="0.2">
      <c r="C89" t="s">
        <v>39</v>
      </c>
      <c r="F89">
        <v>0</v>
      </c>
      <c r="G89" t="s">
        <v>50</v>
      </c>
    </row>
    <row r="90" spans="2:7" x14ac:dyDescent="0.2">
      <c r="C90" t="s">
        <v>41</v>
      </c>
      <c r="F90">
        <v>0</v>
      </c>
      <c r="G90" t="s">
        <v>50</v>
      </c>
    </row>
    <row r="91" spans="2:7" x14ac:dyDescent="0.2">
      <c r="C91" t="s">
        <v>42</v>
      </c>
      <c r="F91">
        <v>8</v>
      </c>
      <c r="G91" t="s">
        <v>43</v>
      </c>
    </row>
    <row r="92" spans="2:7" x14ac:dyDescent="0.2">
      <c r="C92" t="s">
        <v>44</v>
      </c>
      <c r="F92">
        <v>2500</v>
      </c>
      <c r="G92" t="s">
        <v>51</v>
      </c>
    </row>
    <row r="93" spans="2:7" x14ac:dyDescent="0.2">
      <c r="C93" t="s">
        <v>46</v>
      </c>
      <c r="F93">
        <v>312.5</v>
      </c>
      <c r="G93" t="s">
        <v>51</v>
      </c>
    </row>
    <row r="96" spans="2:7" x14ac:dyDescent="0.2">
      <c r="B96" s="4" t="s">
        <v>61</v>
      </c>
      <c r="C96" s="4" t="s">
        <v>52</v>
      </c>
    </row>
    <row r="97" spans="2:7" x14ac:dyDescent="0.2">
      <c r="C97" t="s">
        <v>28</v>
      </c>
      <c r="F97">
        <v>120000</v>
      </c>
      <c r="G97" t="s">
        <v>29</v>
      </c>
    </row>
    <row r="98" spans="2:7" x14ac:dyDescent="0.2">
      <c r="C98" t="s">
        <v>30</v>
      </c>
      <c r="F98">
        <v>20000</v>
      </c>
      <c r="G98" t="s">
        <v>29</v>
      </c>
    </row>
    <row r="99" spans="2:7" x14ac:dyDescent="0.2">
      <c r="C99" t="s">
        <v>31</v>
      </c>
      <c r="F99">
        <v>3</v>
      </c>
      <c r="G99" t="s">
        <v>32</v>
      </c>
    </row>
    <row r="100" spans="2:7" x14ac:dyDescent="0.2">
      <c r="C100" t="s">
        <v>33</v>
      </c>
      <c r="F100">
        <v>439</v>
      </c>
      <c r="G100" t="s">
        <v>34</v>
      </c>
    </row>
    <row r="101" spans="2:7" x14ac:dyDescent="0.2">
      <c r="C101" t="s">
        <v>35</v>
      </c>
      <c r="F101">
        <v>7.4000000953674316</v>
      </c>
      <c r="G101" t="s">
        <v>36</v>
      </c>
    </row>
    <row r="102" spans="2:7" x14ac:dyDescent="0.2">
      <c r="C102" t="s">
        <v>37</v>
      </c>
      <c r="F102" t="s">
        <v>38</v>
      </c>
      <c r="G102" t="s">
        <v>38</v>
      </c>
    </row>
    <row r="103" spans="2:7" x14ac:dyDescent="0.2">
      <c r="C103" t="s">
        <v>39</v>
      </c>
      <c r="F103">
        <v>11.899999618530273</v>
      </c>
      <c r="G103" t="s">
        <v>40</v>
      </c>
    </row>
    <row r="104" spans="2:7" x14ac:dyDescent="0.2">
      <c r="C104" t="s">
        <v>41</v>
      </c>
      <c r="F104">
        <v>0.11900000274181366</v>
      </c>
      <c r="G104" t="s">
        <v>40</v>
      </c>
    </row>
    <row r="105" spans="2:7" x14ac:dyDescent="0.2">
      <c r="C105" t="s">
        <v>42</v>
      </c>
      <c r="F105">
        <v>12</v>
      </c>
      <c r="G105" t="s">
        <v>43</v>
      </c>
    </row>
    <row r="106" spans="2:7" x14ac:dyDescent="0.2">
      <c r="C106" t="s">
        <v>44</v>
      </c>
      <c r="F106">
        <v>10000</v>
      </c>
      <c r="G106" t="s">
        <v>45</v>
      </c>
    </row>
    <row r="107" spans="2:7" x14ac:dyDescent="0.2">
      <c r="C107" t="s">
        <v>46</v>
      </c>
      <c r="F107">
        <v>833.33333333333337</v>
      </c>
      <c r="G107" t="s">
        <v>45</v>
      </c>
    </row>
    <row r="110" spans="2:7" x14ac:dyDescent="0.2">
      <c r="B110" s="4" t="s">
        <v>61</v>
      </c>
      <c r="C110" s="4" t="s">
        <v>53</v>
      </c>
    </row>
    <row r="111" spans="2:7" x14ac:dyDescent="0.2">
      <c r="C111" t="s">
        <v>28</v>
      </c>
      <c r="F111">
        <v>70000</v>
      </c>
      <c r="G111" t="s">
        <v>29</v>
      </c>
    </row>
    <row r="112" spans="2:7" x14ac:dyDescent="0.2">
      <c r="C112" t="s">
        <v>30</v>
      </c>
      <c r="F112">
        <v>0</v>
      </c>
      <c r="G112" t="s">
        <v>29</v>
      </c>
    </row>
    <row r="113" spans="3:8" x14ac:dyDescent="0.2">
      <c r="C113" t="s">
        <v>31</v>
      </c>
      <c r="F113">
        <v>3</v>
      </c>
      <c r="G113" t="s">
        <v>32</v>
      </c>
    </row>
    <row r="114" spans="3:8" x14ac:dyDescent="0.2">
      <c r="C114" t="s">
        <v>33</v>
      </c>
      <c r="F114">
        <v>41</v>
      </c>
      <c r="G114" t="s">
        <v>34</v>
      </c>
    </row>
    <row r="115" spans="3:8" x14ac:dyDescent="0.2">
      <c r="C115" t="s">
        <v>35</v>
      </c>
      <c r="F115">
        <v>0.20000000298023224</v>
      </c>
      <c r="G115" t="s">
        <v>54</v>
      </c>
    </row>
    <row r="116" spans="3:8" x14ac:dyDescent="0.2">
      <c r="C116" t="s">
        <v>37</v>
      </c>
      <c r="F116" t="s">
        <v>38</v>
      </c>
      <c r="G116" t="s">
        <v>38</v>
      </c>
    </row>
    <row r="117" spans="3:8" x14ac:dyDescent="0.2">
      <c r="C117" t="s">
        <v>39</v>
      </c>
      <c r="F117">
        <v>0</v>
      </c>
      <c r="G117" t="s">
        <v>50</v>
      </c>
    </row>
    <row r="118" spans="3:8" x14ac:dyDescent="0.2">
      <c r="C118" t="s">
        <v>41</v>
      </c>
      <c r="F118">
        <v>0</v>
      </c>
      <c r="G118" t="s">
        <v>50</v>
      </c>
    </row>
    <row r="119" spans="3:8" x14ac:dyDescent="0.2">
      <c r="C119" t="s">
        <v>42</v>
      </c>
      <c r="F119">
        <v>10</v>
      </c>
      <c r="G119" t="s">
        <v>43</v>
      </c>
    </row>
    <row r="120" spans="3:8" x14ac:dyDescent="0.2">
      <c r="C120" t="s">
        <v>44</v>
      </c>
      <c r="F120">
        <v>121000</v>
      </c>
      <c r="G120" t="s">
        <v>55</v>
      </c>
    </row>
    <row r="121" spans="3:8" x14ac:dyDescent="0.2">
      <c r="C121" t="s">
        <v>46</v>
      </c>
      <c r="F121">
        <v>12100</v>
      </c>
      <c r="G121" t="s">
        <v>55</v>
      </c>
    </row>
    <row r="124" spans="3:8" x14ac:dyDescent="0.2">
      <c r="C124" t="s">
        <v>57</v>
      </c>
    </row>
    <row r="125" spans="3:8" x14ac:dyDescent="0.2">
      <c r="C125" t="s">
        <v>58</v>
      </c>
    </row>
    <row r="127" spans="3:8" x14ac:dyDescent="0.2">
      <c r="C127" t="s">
        <v>60</v>
      </c>
      <c r="G127">
        <v>85</v>
      </c>
      <c r="H127" t="s">
        <v>59</v>
      </c>
    </row>
    <row r="128" spans="3:8" x14ac:dyDescent="0.2">
      <c r="C128" t="s">
        <v>62</v>
      </c>
      <c r="G128">
        <v>85</v>
      </c>
      <c r="H128" t="s">
        <v>59</v>
      </c>
    </row>
    <row r="132" spans="2:10" x14ac:dyDescent="0.2">
      <c r="B132" s="2" t="s">
        <v>73</v>
      </c>
      <c r="C132" t="s">
        <v>134</v>
      </c>
    </row>
    <row r="134" spans="2:10" x14ac:dyDescent="0.2">
      <c r="C134" t="s">
        <v>135</v>
      </c>
      <c r="F134" s="20">
        <v>6</v>
      </c>
      <c r="G134" t="s">
        <v>136</v>
      </c>
    </row>
    <row r="135" spans="2:10" x14ac:dyDescent="0.2">
      <c r="C135" t="s">
        <v>137</v>
      </c>
      <c r="F135" s="20">
        <v>15</v>
      </c>
      <c r="G135" t="s">
        <v>138</v>
      </c>
    </row>
    <row r="136" spans="2:10" x14ac:dyDescent="0.2">
      <c r="C136" t="s">
        <v>139</v>
      </c>
      <c r="F136">
        <f>+F134*F135</f>
        <v>90</v>
      </c>
      <c r="G136" t="s">
        <v>138</v>
      </c>
    </row>
    <row r="138" spans="2:10" x14ac:dyDescent="0.2">
      <c r="C138" s="2" t="s">
        <v>141</v>
      </c>
      <c r="E138" s="25">
        <v>0.2</v>
      </c>
      <c r="F138">
        <f>F136*E138</f>
        <v>18</v>
      </c>
      <c r="G138" s="2" t="s">
        <v>138</v>
      </c>
    </row>
    <row r="140" spans="2:10" x14ac:dyDescent="0.2">
      <c r="C140" s="2" t="s">
        <v>142</v>
      </c>
      <c r="F140">
        <f>F136-F138</f>
        <v>72</v>
      </c>
      <c r="G140" s="2" t="s">
        <v>138</v>
      </c>
    </row>
    <row r="142" spans="2:10" x14ac:dyDescent="0.2">
      <c r="C142" s="2" t="s">
        <v>143</v>
      </c>
      <c r="F142">
        <f>100*43.36</f>
        <v>4336</v>
      </c>
      <c r="G142" s="2" t="s">
        <v>146</v>
      </c>
      <c r="H142" s="2" t="s">
        <v>144</v>
      </c>
      <c r="I142" s="13">
        <f>M48</f>
        <v>43.357142857142854</v>
      </c>
      <c r="J142" s="2" t="s">
        <v>145</v>
      </c>
    </row>
    <row r="144" spans="2:10" x14ac:dyDescent="0.2">
      <c r="C144" s="2" t="s">
        <v>147</v>
      </c>
      <c r="F144" s="26">
        <f>M53</f>
        <v>102.14285714285714</v>
      </c>
      <c r="G144" s="2" t="s">
        <v>148</v>
      </c>
    </row>
    <row r="146" spans="2:10" x14ac:dyDescent="0.2">
      <c r="C146" s="2" t="s">
        <v>149</v>
      </c>
      <c r="F146" s="13">
        <f>F142/F144</f>
        <v>42.450349650349651</v>
      </c>
      <c r="G146" s="2" t="s">
        <v>138</v>
      </c>
    </row>
    <row r="148" spans="2:10" x14ac:dyDescent="0.2">
      <c r="C148" s="2" t="s">
        <v>150</v>
      </c>
      <c r="E148" s="25">
        <v>0.2</v>
      </c>
      <c r="F148" s="13">
        <f>F146*0.2</f>
        <v>8.4900699300699305</v>
      </c>
      <c r="G148" s="2" t="s">
        <v>138</v>
      </c>
    </row>
    <row r="150" spans="2:10" x14ac:dyDescent="0.2">
      <c r="C150" s="2" t="s">
        <v>151</v>
      </c>
      <c r="F150" s="13">
        <f>F146+F148</f>
        <v>50.940419580419579</v>
      </c>
      <c r="G150" s="2" t="s">
        <v>138</v>
      </c>
      <c r="I150" s="2" t="s">
        <v>152</v>
      </c>
    </row>
    <row r="152" spans="2:10" x14ac:dyDescent="0.2">
      <c r="B152" s="2" t="s">
        <v>64</v>
      </c>
      <c r="C152" t="s">
        <v>65</v>
      </c>
    </row>
    <row r="153" spans="2:10" x14ac:dyDescent="0.2">
      <c r="C153" t="s">
        <v>66</v>
      </c>
    </row>
    <row r="155" spans="2:10" x14ac:dyDescent="0.2">
      <c r="C155" s="2" t="s">
        <v>153</v>
      </c>
      <c r="F155">
        <v>40</v>
      </c>
      <c r="G155" s="2" t="s">
        <v>154</v>
      </c>
    </row>
    <row r="156" spans="2:10" x14ac:dyDescent="0.2">
      <c r="C156" s="2" t="s">
        <v>155</v>
      </c>
      <c r="F156">
        <v>0.4</v>
      </c>
      <c r="G156" s="2" t="s">
        <v>156</v>
      </c>
    </row>
    <row r="158" spans="2:10" x14ac:dyDescent="0.2">
      <c r="C158" s="2" t="s">
        <v>157</v>
      </c>
      <c r="F158">
        <f>F155*F156</f>
        <v>16</v>
      </c>
      <c r="G158" s="2" t="s">
        <v>146</v>
      </c>
    </row>
    <row r="160" spans="2:10" x14ac:dyDescent="0.2">
      <c r="C160" s="2" t="s">
        <v>158</v>
      </c>
      <c r="F160" s="27">
        <f>16/102</f>
        <v>0.15686274509803921</v>
      </c>
      <c r="G160" s="2" t="s">
        <v>159</v>
      </c>
      <c r="I160">
        <f>1/F160</f>
        <v>6.375</v>
      </c>
      <c r="J160" s="2" t="s">
        <v>164</v>
      </c>
    </row>
    <row r="161" spans="2:19" x14ac:dyDescent="0.2">
      <c r="C161" s="2" t="s">
        <v>160</v>
      </c>
      <c r="D161">
        <v>8.08</v>
      </c>
      <c r="E161">
        <v>20</v>
      </c>
      <c r="F161">
        <f>D161/E161</f>
        <v>0.40400000000000003</v>
      </c>
      <c r="G161" s="2" t="s">
        <v>161</v>
      </c>
      <c r="I161" s="2" t="s">
        <v>167</v>
      </c>
    </row>
    <row r="162" spans="2:19" x14ac:dyDescent="0.2">
      <c r="C162" s="2" t="s">
        <v>162</v>
      </c>
      <c r="F162">
        <f>0.15</f>
        <v>0.15</v>
      </c>
      <c r="G162" s="2" t="s">
        <v>161</v>
      </c>
    </row>
    <row r="163" spans="2:19" x14ac:dyDescent="0.2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</row>
    <row r="164" spans="2:19" x14ac:dyDescent="0.2">
      <c r="C164" s="18"/>
      <c r="D164" s="18"/>
      <c r="E164" s="18"/>
      <c r="F164" s="28">
        <f>SUM(F160:F162)</f>
        <v>0.71086274509803926</v>
      </c>
      <c r="G164" s="30" t="s">
        <v>163</v>
      </c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</row>
    <row r="165" spans="2:19" x14ac:dyDescent="0.2"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</row>
    <row r="166" spans="2:19" x14ac:dyDescent="0.2">
      <c r="C166" s="29" t="s">
        <v>165</v>
      </c>
      <c r="D166" s="18"/>
      <c r="E166" s="18"/>
      <c r="F166" s="31">
        <f>I160*F164</f>
        <v>4.5317500000000006</v>
      </c>
      <c r="G166" s="30" t="s">
        <v>166</v>
      </c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</row>
    <row r="167" spans="2:19" x14ac:dyDescent="0.2"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</row>
    <row r="168" spans="2:19" x14ac:dyDescent="0.2">
      <c r="C168" s="29" t="s">
        <v>168</v>
      </c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</row>
    <row r="170" spans="2:19" x14ac:dyDescent="0.2">
      <c r="B170" s="2" t="s">
        <v>68</v>
      </c>
      <c r="C170" t="s">
        <v>69</v>
      </c>
    </row>
    <row r="171" spans="2:19" x14ac:dyDescent="0.2">
      <c r="B171" s="5"/>
    </row>
    <row r="172" spans="2:19" x14ac:dyDescent="0.2">
      <c r="B172" s="5"/>
    </row>
    <row r="173" spans="2:19" x14ac:dyDescent="0.2">
      <c r="B173" s="5"/>
    </row>
    <row r="175" spans="2:19" x14ac:dyDescent="0.2">
      <c r="B175" s="2" t="s">
        <v>70</v>
      </c>
      <c r="C175" s="4" t="s">
        <v>80</v>
      </c>
      <c r="G175" s="2" t="s">
        <v>171</v>
      </c>
    </row>
    <row r="176" spans="2:19" x14ac:dyDescent="0.2">
      <c r="B176" s="2"/>
      <c r="E176" s="2" t="s">
        <v>172</v>
      </c>
      <c r="G176" s="2" t="s">
        <v>173</v>
      </c>
    </row>
    <row r="177" spans="2:11" x14ac:dyDescent="0.2">
      <c r="B177" s="2"/>
      <c r="C177" s="4" t="s">
        <v>170</v>
      </c>
    </row>
    <row r="178" spans="2:11" x14ac:dyDescent="0.2">
      <c r="B178" s="2"/>
      <c r="C178" s="4" t="s">
        <v>169</v>
      </c>
      <c r="E178">
        <v>0</v>
      </c>
      <c r="F178" s="2" t="s">
        <v>174</v>
      </c>
      <c r="G178">
        <f>(326000-75000)/10</f>
        <v>25100</v>
      </c>
      <c r="H178" s="2" t="s">
        <v>174</v>
      </c>
    </row>
    <row r="179" spans="2:11" x14ac:dyDescent="0.2">
      <c r="B179" s="2"/>
      <c r="C179" s="4" t="s">
        <v>175</v>
      </c>
      <c r="D179" s="25">
        <v>0.03</v>
      </c>
      <c r="E179">
        <v>0</v>
      </c>
      <c r="F179" s="2" t="s">
        <v>174</v>
      </c>
      <c r="G179">
        <f>(326000+75000)/2*D179</f>
        <v>6015</v>
      </c>
      <c r="H179" s="2" t="s">
        <v>174</v>
      </c>
      <c r="I179" s="2" t="s">
        <v>176</v>
      </c>
    </row>
    <row r="180" spans="2:11" x14ac:dyDescent="0.2">
      <c r="B180" s="2"/>
      <c r="C180" s="4" t="s">
        <v>177</v>
      </c>
      <c r="E180">
        <v>0</v>
      </c>
      <c r="F180" s="2" t="s">
        <v>174</v>
      </c>
      <c r="G180">
        <v>97</v>
      </c>
      <c r="H180" s="2" t="s">
        <v>174</v>
      </c>
    </row>
    <row r="181" spans="2:11" x14ac:dyDescent="0.2">
      <c r="B181" s="2"/>
      <c r="C181" s="4"/>
      <c r="F181" s="2"/>
    </row>
    <row r="182" spans="2:11" x14ac:dyDescent="0.2">
      <c r="B182" s="2"/>
      <c r="C182" s="4" t="s">
        <v>178</v>
      </c>
      <c r="E182">
        <f>SUM(E178:E180)</f>
        <v>0</v>
      </c>
      <c r="F182" s="2" t="s">
        <v>174</v>
      </c>
      <c r="G182">
        <f>SUM(G178:G180)</f>
        <v>31212</v>
      </c>
      <c r="H182" s="2" t="s">
        <v>174</v>
      </c>
    </row>
    <row r="183" spans="2:11" x14ac:dyDescent="0.2">
      <c r="B183" s="2"/>
      <c r="C183" s="4"/>
      <c r="G183" s="13">
        <f>G182/201</f>
        <v>155.28358208955223</v>
      </c>
      <c r="H183" s="2" t="s">
        <v>59</v>
      </c>
    </row>
    <row r="184" spans="2:11" x14ac:dyDescent="0.2">
      <c r="B184" s="2"/>
      <c r="C184" s="4" t="s">
        <v>179</v>
      </c>
    </row>
    <row r="185" spans="2:11" x14ac:dyDescent="0.2">
      <c r="B185" s="2"/>
      <c r="C185" s="4"/>
    </row>
    <row r="186" spans="2:11" x14ac:dyDescent="0.2">
      <c r="B186" s="2"/>
      <c r="C186" s="4" t="s">
        <v>180</v>
      </c>
      <c r="E186">
        <f>58*1.1+0.58*3</f>
        <v>65.540000000000006</v>
      </c>
      <c r="F186" s="2" t="s">
        <v>59</v>
      </c>
      <c r="G186">
        <f>E186</f>
        <v>65.540000000000006</v>
      </c>
      <c r="H186" s="2" t="s">
        <v>59</v>
      </c>
    </row>
    <row r="187" spans="2:11" x14ac:dyDescent="0.2">
      <c r="B187" s="2"/>
      <c r="C187" s="4" t="s">
        <v>181</v>
      </c>
      <c r="E187">
        <v>32</v>
      </c>
      <c r="F187" s="2" t="s">
        <v>59</v>
      </c>
      <c r="G187">
        <v>32</v>
      </c>
      <c r="H187" s="2" t="s">
        <v>59</v>
      </c>
    </row>
    <row r="188" spans="2:11" x14ac:dyDescent="0.2">
      <c r="B188" s="2"/>
      <c r="C188" s="4"/>
    </row>
    <row r="189" spans="2:11" x14ac:dyDescent="0.2">
      <c r="B189" s="2"/>
      <c r="C189" s="4" t="s">
        <v>182</v>
      </c>
      <c r="E189">
        <f>E187+E186</f>
        <v>97.54</v>
      </c>
      <c r="F189" s="2" t="s">
        <v>59</v>
      </c>
      <c r="G189" s="13">
        <f>G187+G186+G183</f>
        <v>252.82358208955225</v>
      </c>
      <c r="H189" s="2" t="s">
        <v>59</v>
      </c>
      <c r="I189">
        <f>150+51</f>
        <v>201</v>
      </c>
      <c r="J189" s="2" t="s">
        <v>183</v>
      </c>
    </row>
    <row r="191" spans="2:11" x14ac:dyDescent="0.2">
      <c r="C191" s="4" t="s">
        <v>71</v>
      </c>
      <c r="H191" s="2" t="s">
        <v>184</v>
      </c>
      <c r="J191">
        <v>200</v>
      </c>
      <c r="K191" s="2" t="s">
        <v>185</v>
      </c>
    </row>
    <row r="192" spans="2:11" x14ac:dyDescent="0.2">
      <c r="C192" s="4"/>
    </row>
    <row r="193" spans="3:10" x14ac:dyDescent="0.2">
      <c r="C193" s="4" t="s">
        <v>170</v>
      </c>
    </row>
    <row r="194" spans="3:10" x14ac:dyDescent="0.2">
      <c r="C194" s="4" t="s">
        <v>169</v>
      </c>
      <c r="E194">
        <v>0</v>
      </c>
      <c r="F194" s="2" t="s">
        <v>174</v>
      </c>
      <c r="G194">
        <f>(79000)/8</f>
        <v>9875</v>
      </c>
      <c r="H194" s="2" t="s">
        <v>186</v>
      </c>
    </row>
    <row r="195" spans="3:10" x14ac:dyDescent="0.2">
      <c r="C195" s="4" t="s">
        <v>175</v>
      </c>
      <c r="E195">
        <v>0</v>
      </c>
      <c r="F195" s="2" t="s">
        <v>174</v>
      </c>
      <c r="G195">
        <f>(79000/2)*0.03</f>
        <v>1185</v>
      </c>
      <c r="H195" s="2" t="s">
        <v>186</v>
      </c>
    </row>
    <row r="196" spans="3:10" x14ac:dyDescent="0.2">
      <c r="C196" s="4" t="s">
        <v>177</v>
      </c>
      <c r="E196">
        <v>0</v>
      </c>
      <c r="F196" s="2" t="s">
        <v>174</v>
      </c>
      <c r="G196">
        <v>0</v>
      </c>
      <c r="H196" s="2" t="s">
        <v>186</v>
      </c>
    </row>
    <row r="197" spans="3:10" x14ac:dyDescent="0.2">
      <c r="C197" s="4"/>
    </row>
    <row r="198" spans="3:10" x14ac:dyDescent="0.2">
      <c r="C198" s="4" t="s">
        <v>178</v>
      </c>
      <c r="E198">
        <v>0</v>
      </c>
      <c r="F198" s="2" t="s">
        <v>174</v>
      </c>
      <c r="G198">
        <f>SUM(G194:G196)</f>
        <v>11060</v>
      </c>
      <c r="H198" s="2" t="s">
        <v>186</v>
      </c>
    </row>
    <row r="199" spans="3:10" x14ac:dyDescent="0.2">
      <c r="C199" s="4"/>
      <c r="G199" s="13">
        <f>G198/300</f>
        <v>36.866666666666667</v>
      </c>
      <c r="H199" s="2" t="s">
        <v>187</v>
      </c>
    </row>
    <row r="200" spans="3:10" x14ac:dyDescent="0.2">
      <c r="C200" s="4" t="s">
        <v>179</v>
      </c>
    </row>
    <row r="201" spans="3:10" x14ac:dyDescent="0.2">
      <c r="C201" s="4"/>
    </row>
    <row r="202" spans="3:10" x14ac:dyDescent="0.2">
      <c r="C202" s="4" t="s">
        <v>180</v>
      </c>
    </row>
    <row r="203" spans="3:10" x14ac:dyDescent="0.2">
      <c r="C203" s="4" t="s">
        <v>181</v>
      </c>
      <c r="E203">
        <v>10</v>
      </c>
      <c r="F203" s="2" t="s">
        <v>187</v>
      </c>
      <c r="G203">
        <v>10</v>
      </c>
      <c r="H203" s="2" t="s">
        <v>187</v>
      </c>
    </row>
    <row r="204" spans="3:10" x14ac:dyDescent="0.2">
      <c r="C204" s="4"/>
    </row>
    <row r="205" spans="3:10" x14ac:dyDescent="0.2">
      <c r="C205" s="4" t="s">
        <v>182</v>
      </c>
      <c r="E205">
        <f>E203</f>
        <v>10</v>
      </c>
      <c r="F205" s="2" t="s">
        <v>187</v>
      </c>
      <c r="G205" s="13">
        <f>G203+G199</f>
        <v>46.866666666666667</v>
      </c>
      <c r="H205" s="2" t="s">
        <v>187</v>
      </c>
    </row>
    <row r="207" spans="3:10" x14ac:dyDescent="0.2">
      <c r="C207" s="4" t="s">
        <v>72</v>
      </c>
      <c r="I207" s="2" t="s">
        <v>189</v>
      </c>
    </row>
    <row r="208" spans="3:10" x14ac:dyDescent="0.2">
      <c r="C208" s="4"/>
      <c r="I208">
        <v>5000</v>
      </c>
      <c r="J208" s="2" t="s">
        <v>190</v>
      </c>
    </row>
    <row r="209" spans="3:10" x14ac:dyDescent="0.2">
      <c r="C209" s="4" t="s">
        <v>170</v>
      </c>
    </row>
    <row r="210" spans="3:10" x14ac:dyDescent="0.2">
      <c r="C210" s="4" t="s">
        <v>169</v>
      </c>
      <c r="E210">
        <v>0</v>
      </c>
      <c r="F210" s="2" t="s">
        <v>174</v>
      </c>
      <c r="G210">
        <f>70000/10</f>
        <v>7000</v>
      </c>
      <c r="H210" s="2" t="s">
        <v>174</v>
      </c>
      <c r="I210">
        <f>F142</f>
        <v>4336</v>
      </c>
      <c r="J210" s="2" t="s">
        <v>191</v>
      </c>
    </row>
    <row r="211" spans="3:10" x14ac:dyDescent="0.2">
      <c r="C211" s="4" t="s">
        <v>175</v>
      </c>
      <c r="E211">
        <v>0</v>
      </c>
      <c r="F211" s="2" t="s">
        <v>174</v>
      </c>
      <c r="G211">
        <f>70000/2*0.03</f>
        <v>1050</v>
      </c>
      <c r="H211" s="2" t="s">
        <v>174</v>
      </c>
      <c r="I211">
        <f>I210/4</f>
        <v>1084</v>
      </c>
      <c r="J211" s="2" t="s">
        <v>192</v>
      </c>
    </row>
    <row r="212" spans="3:10" x14ac:dyDescent="0.2">
      <c r="C212" s="4" t="s">
        <v>177</v>
      </c>
      <c r="E212">
        <v>0</v>
      </c>
      <c r="F212" s="2" t="s">
        <v>174</v>
      </c>
      <c r="G212">
        <v>41</v>
      </c>
      <c r="H212" s="2" t="s">
        <v>174</v>
      </c>
    </row>
    <row r="213" spans="3:10" x14ac:dyDescent="0.2">
      <c r="C213" s="4"/>
      <c r="I213">
        <f>I208+I211</f>
        <v>6084</v>
      </c>
      <c r="J213" s="2" t="s">
        <v>193</v>
      </c>
    </row>
    <row r="214" spans="3:10" x14ac:dyDescent="0.2">
      <c r="C214" s="4" t="s">
        <v>178</v>
      </c>
      <c r="E214">
        <v>0</v>
      </c>
      <c r="F214" s="2" t="s">
        <v>174</v>
      </c>
      <c r="G214">
        <f>SUM(G210:G212)</f>
        <v>8091</v>
      </c>
      <c r="H214" s="2" t="s">
        <v>174</v>
      </c>
    </row>
    <row r="215" spans="3:10" x14ac:dyDescent="0.2">
      <c r="C215" s="4"/>
      <c r="G215" s="13">
        <f>G214/I213</f>
        <v>1.3298816568047338</v>
      </c>
      <c r="H215" s="2" t="s">
        <v>188</v>
      </c>
    </row>
    <row r="216" spans="3:10" x14ac:dyDescent="0.2">
      <c r="C216" s="4" t="s">
        <v>179</v>
      </c>
    </row>
    <row r="217" spans="3:10" x14ac:dyDescent="0.2">
      <c r="C217" s="4"/>
    </row>
    <row r="218" spans="3:10" x14ac:dyDescent="0.2">
      <c r="C218" s="4" t="s">
        <v>180</v>
      </c>
    </row>
    <row r="219" spans="3:10" x14ac:dyDescent="0.2">
      <c r="C219" s="4" t="s">
        <v>181</v>
      </c>
      <c r="E219">
        <v>0.2</v>
      </c>
      <c r="F219" s="2" t="s">
        <v>188</v>
      </c>
      <c r="G219">
        <v>0.2</v>
      </c>
      <c r="H219" s="2" t="s">
        <v>188</v>
      </c>
    </row>
    <row r="220" spans="3:10" x14ac:dyDescent="0.2">
      <c r="C220" s="4"/>
    </row>
    <row r="221" spans="3:10" x14ac:dyDescent="0.2">
      <c r="C221" s="4" t="s">
        <v>182</v>
      </c>
      <c r="E221">
        <f>E219</f>
        <v>0.2</v>
      </c>
      <c r="F221" s="2" t="s">
        <v>188</v>
      </c>
      <c r="G221" s="13">
        <f>G219+G215</f>
        <v>1.5298816568047338</v>
      </c>
      <c r="H221" s="2" t="s">
        <v>188</v>
      </c>
    </row>
    <row r="224" spans="3:10" x14ac:dyDescent="0.2">
      <c r="C224" s="2" t="s">
        <v>194</v>
      </c>
      <c r="E224" s="2" t="s">
        <v>195</v>
      </c>
    </row>
    <row r="225" spans="3:9" x14ac:dyDescent="0.2">
      <c r="E225" s="2" t="s">
        <v>196</v>
      </c>
      <c r="G225" s="13">
        <f>10000/12</f>
        <v>833.33333333333337</v>
      </c>
      <c r="H225" s="2" t="s">
        <v>183</v>
      </c>
      <c r="I225" s="2" t="s">
        <v>197</v>
      </c>
    </row>
    <row r="226" spans="3:9" x14ac:dyDescent="0.2">
      <c r="E226" s="2" t="s">
        <v>198</v>
      </c>
      <c r="G226" s="13">
        <f>1000+51</f>
        <v>1051</v>
      </c>
      <c r="H226" s="2" t="s">
        <v>199</v>
      </c>
    </row>
    <row r="228" spans="3:9" x14ac:dyDescent="0.2">
      <c r="E228" s="2" t="s">
        <v>200</v>
      </c>
      <c r="G228" s="2" t="s">
        <v>173</v>
      </c>
    </row>
    <row r="229" spans="3:9" x14ac:dyDescent="0.2">
      <c r="C229" s="4" t="s">
        <v>170</v>
      </c>
    </row>
    <row r="230" spans="3:9" x14ac:dyDescent="0.2">
      <c r="C230" s="4" t="s">
        <v>169</v>
      </c>
      <c r="E230">
        <v>0</v>
      </c>
      <c r="F230" s="2" t="s">
        <v>201</v>
      </c>
      <c r="G230">
        <v>0</v>
      </c>
      <c r="H230" s="2" t="s">
        <v>201</v>
      </c>
    </row>
    <row r="231" spans="3:9" x14ac:dyDescent="0.2">
      <c r="C231" s="4" t="s">
        <v>175</v>
      </c>
      <c r="E231">
        <v>0</v>
      </c>
      <c r="F231" s="2" t="s">
        <v>201</v>
      </c>
      <c r="G231">
        <f>(120000+20000)/2*3%</f>
        <v>2100</v>
      </c>
      <c r="H231" s="2" t="s">
        <v>201</v>
      </c>
    </row>
    <row r="232" spans="3:9" x14ac:dyDescent="0.2">
      <c r="C232" s="4" t="s">
        <v>177</v>
      </c>
      <c r="E232">
        <v>0</v>
      </c>
      <c r="F232" s="2" t="s">
        <v>201</v>
      </c>
      <c r="G232">
        <v>439</v>
      </c>
      <c r="H232" s="2" t="s">
        <v>201</v>
      </c>
    </row>
    <row r="233" spans="3:9" x14ac:dyDescent="0.2">
      <c r="C233" s="4"/>
    </row>
    <row r="234" spans="3:9" x14ac:dyDescent="0.2">
      <c r="C234" s="4" t="s">
        <v>178</v>
      </c>
      <c r="E234">
        <f>SUM(E230:E232)</f>
        <v>0</v>
      </c>
      <c r="F234" s="2" t="s">
        <v>201</v>
      </c>
      <c r="G234" s="32">
        <f>SUM(G230:G232)</f>
        <v>2539</v>
      </c>
      <c r="H234" s="2" t="s">
        <v>201</v>
      </c>
    </row>
    <row r="235" spans="3:9" x14ac:dyDescent="0.2">
      <c r="C235" s="4"/>
      <c r="E235">
        <f>E234/1051</f>
        <v>0</v>
      </c>
      <c r="F235" s="2" t="s">
        <v>59</v>
      </c>
      <c r="G235" s="13">
        <f>G234/1051</f>
        <v>2.4157944814462415</v>
      </c>
      <c r="H235" s="2" t="s">
        <v>59</v>
      </c>
    </row>
    <row r="236" spans="3:9" x14ac:dyDescent="0.2">
      <c r="C236" s="4" t="s">
        <v>179</v>
      </c>
    </row>
    <row r="237" spans="3:9" x14ac:dyDescent="0.2">
      <c r="C237" s="4"/>
    </row>
    <row r="238" spans="3:9" x14ac:dyDescent="0.2">
      <c r="C238" s="4" t="s">
        <v>202</v>
      </c>
      <c r="E238">
        <f>(120000-20000)/10000</f>
        <v>10</v>
      </c>
      <c r="F238" s="2" t="s">
        <v>59</v>
      </c>
      <c r="G238">
        <f>E238</f>
        <v>10</v>
      </c>
      <c r="H238" s="2" t="s">
        <v>59</v>
      </c>
    </row>
    <row r="239" spans="3:9" x14ac:dyDescent="0.2">
      <c r="C239" s="4" t="s">
        <v>180</v>
      </c>
      <c r="E239">
        <f>11.9*1.1+0.119*3</f>
        <v>13.447000000000001</v>
      </c>
      <c r="F239" s="2" t="s">
        <v>59</v>
      </c>
      <c r="G239">
        <f>E239</f>
        <v>13.447000000000001</v>
      </c>
      <c r="H239" s="2" t="s">
        <v>59</v>
      </c>
    </row>
    <row r="240" spans="3:9" x14ac:dyDescent="0.2">
      <c r="C240" s="4" t="s">
        <v>181</v>
      </c>
      <c r="E240">
        <v>7.4</v>
      </c>
      <c r="F240" s="2" t="s">
        <v>59</v>
      </c>
      <c r="G240">
        <f>E240</f>
        <v>7.4</v>
      </c>
      <c r="H240" s="2" t="s">
        <v>59</v>
      </c>
    </row>
    <row r="241" spans="2:12" x14ac:dyDescent="0.2">
      <c r="C241" s="4"/>
    </row>
    <row r="242" spans="2:12" x14ac:dyDescent="0.2">
      <c r="C242" s="4" t="s">
        <v>182</v>
      </c>
      <c r="E242" s="13">
        <f>SUM(E235:E240)</f>
        <v>30.847000000000001</v>
      </c>
      <c r="F242" s="2" t="s">
        <v>59</v>
      </c>
      <c r="G242" s="13">
        <f>SUM(G235:G240)</f>
        <v>33.262794481446242</v>
      </c>
      <c r="H242" s="2" t="s">
        <v>59</v>
      </c>
    </row>
    <row r="243" spans="2:12" x14ac:dyDescent="0.2">
      <c r="C243" s="4"/>
    </row>
    <row r="244" spans="2:12" x14ac:dyDescent="0.2">
      <c r="C244" s="4"/>
    </row>
    <row r="245" spans="2:12" x14ac:dyDescent="0.2">
      <c r="C245" s="4"/>
    </row>
    <row r="246" spans="2:12" x14ac:dyDescent="0.2">
      <c r="C246" s="4"/>
    </row>
    <row r="247" spans="2:12" x14ac:dyDescent="0.2">
      <c r="B247" s="2" t="s">
        <v>74</v>
      </c>
      <c r="C247" s="5" t="s">
        <v>76</v>
      </c>
    </row>
    <row r="248" spans="2:12" ht="13.5" customHeight="1" x14ac:dyDescent="0.2">
      <c r="B248" s="5"/>
      <c r="C248" s="5"/>
    </row>
    <row r="249" spans="2:12" ht="13.5" customHeight="1" x14ac:dyDescent="0.2">
      <c r="B249" s="5"/>
      <c r="C249" s="2" t="s">
        <v>203</v>
      </c>
      <c r="E249">
        <v>100</v>
      </c>
      <c r="F249" s="2" t="s">
        <v>204</v>
      </c>
    </row>
    <row r="250" spans="2:12" ht="13.5" customHeight="1" x14ac:dyDescent="0.2">
      <c r="B250" s="5"/>
      <c r="C250" s="5"/>
    </row>
    <row r="251" spans="2:12" ht="13.5" customHeight="1" x14ac:dyDescent="0.2">
      <c r="B251" s="5"/>
      <c r="C251" s="2" t="s">
        <v>205</v>
      </c>
      <c r="E251" s="13">
        <f>G189</f>
        <v>252.82358208955225</v>
      </c>
      <c r="F251" s="2" t="s">
        <v>59</v>
      </c>
      <c r="G251">
        <v>51</v>
      </c>
      <c r="H251" s="2" t="s">
        <v>206</v>
      </c>
      <c r="J251" s="32">
        <f>G251*E251</f>
        <v>12894.002686567164</v>
      </c>
      <c r="K251" s="2" t="s">
        <v>209</v>
      </c>
    </row>
    <row r="252" spans="2:12" ht="13.5" customHeight="1" x14ac:dyDescent="0.2">
      <c r="B252" s="5"/>
      <c r="C252" s="2" t="s">
        <v>207</v>
      </c>
      <c r="E252" s="13">
        <f>G205</f>
        <v>46.866666666666667</v>
      </c>
      <c r="F252" s="2" t="s">
        <v>187</v>
      </c>
      <c r="G252">
        <v>100</v>
      </c>
      <c r="H252" s="2" t="s">
        <v>208</v>
      </c>
      <c r="J252" s="13">
        <f>G252*E252</f>
        <v>4686.666666666667</v>
      </c>
      <c r="K252" s="2" t="s">
        <v>209</v>
      </c>
    </row>
    <row r="253" spans="2:12" ht="13.5" customHeight="1" x14ac:dyDescent="0.2">
      <c r="B253" s="5"/>
      <c r="C253" s="2" t="s">
        <v>194</v>
      </c>
      <c r="E253" s="13">
        <f>G242</f>
        <v>33.262794481446242</v>
      </c>
      <c r="F253" s="2" t="s">
        <v>59</v>
      </c>
      <c r="G253">
        <v>51</v>
      </c>
      <c r="H253" s="2" t="s">
        <v>210</v>
      </c>
      <c r="J253" s="13">
        <f>G253*E253*3</f>
        <v>5089.2075556612754</v>
      </c>
      <c r="K253" s="2" t="s">
        <v>209</v>
      </c>
      <c r="L253" s="2" t="s">
        <v>211</v>
      </c>
    </row>
    <row r="254" spans="2:12" ht="13.5" customHeight="1" x14ac:dyDescent="0.2">
      <c r="B254" s="5"/>
      <c r="C254" s="2" t="s">
        <v>212</v>
      </c>
      <c r="E254" s="13">
        <f>G221</f>
        <v>1.5298816568047338</v>
      </c>
      <c r="F254" s="2" t="s">
        <v>213</v>
      </c>
      <c r="G254">
        <v>1000</v>
      </c>
      <c r="H254" s="2" t="s">
        <v>215</v>
      </c>
      <c r="J254" s="13">
        <f>G254*E254*3</f>
        <v>4589.6449704142015</v>
      </c>
      <c r="K254" s="2" t="s">
        <v>209</v>
      </c>
      <c r="L254" s="2" t="s">
        <v>214</v>
      </c>
    </row>
    <row r="255" spans="2:12" ht="13.5" customHeight="1" x14ac:dyDescent="0.2">
      <c r="B255" s="5"/>
      <c r="C255" s="2"/>
      <c r="E255" s="13"/>
      <c r="F255" s="2"/>
      <c r="H255" s="2"/>
      <c r="J255" s="13"/>
      <c r="K255" s="2"/>
      <c r="L255" s="2"/>
    </row>
    <row r="256" spans="2:12" ht="13.5" customHeight="1" x14ac:dyDescent="0.2">
      <c r="B256" s="5"/>
      <c r="C256" s="2" t="s">
        <v>216</v>
      </c>
      <c r="E256" s="13">
        <v>25</v>
      </c>
      <c r="F256" s="2" t="s">
        <v>59</v>
      </c>
      <c r="G256">
        <f>(51+3*51)*1.2</f>
        <v>244.79999999999998</v>
      </c>
      <c r="H256" s="2" t="s">
        <v>138</v>
      </c>
      <c r="J256" s="13">
        <f>G256*E256</f>
        <v>6120</v>
      </c>
      <c r="K256" s="2" t="s">
        <v>209</v>
      </c>
      <c r="L256" s="2"/>
    </row>
    <row r="257" spans="2:17" ht="13.5" customHeight="1" x14ac:dyDescent="0.2">
      <c r="B257" s="5"/>
      <c r="C257" s="2"/>
      <c r="E257" s="13"/>
      <c r="F257" s="2"/>
      <c r="H257" s="2"/>
      <c r="J257" s="13"/>
      <c r="K257" s="2"/>
      <c r="L257" s="2"/>
    </row>
    <row r="258" spans="2:17" ht="13.5" customHeight="1" x14ac:dyDescent="0.2">
      <c r="B258" s="5"/>
      <c r="C258" s="2" t="s">
        <v>217</v>
      </c>
      <c r="E258" s="13">
        <v>85</v>
      </c>
      <c r="F258" s="2" t="s">
        <v>59</v>
      </c>
      <c r="G258">
        <f>1.5*51</f>
        <v>76.5</v>
      </c>
      <c r="H258" s="2" t="s">
        <v>138</v>
      </c>
      <c r="J258" s="13">
        <f>G258*E258</f>
        <v>6502.5</v>
      </c>
      <c r="K258" s="2" t="s">
        <v>209</v>
      </c>
      <c r="L258" s="2"/>
    </row>
    <row r="259" spans="2:17" ht="13.5" customHeight="1" x14ac:dyDescent="0.2">
      <c r="B259" s="5"/>
      <c r="C259" s="5"/>
      <c r="J259" s="13"/>
    </row>
    <row r="260" spans="2:17" ht="13.5" customHeight="1" x14ac:dyDescent="0.2">
      <c r="B260" s="5"/>
      <c r="C260" s="2" t="s">
        <v>218</v>
      </c>
      <c r="E260" s="13">
        <v>85</v>
      </c>
      <c r="F260" s="2" t="s">
        <v>59</v>
      </c>
      <c r="G260">
        <v>60</v>
      </c>
      <c r="H260" s="2" t="s">
        <v>138</v>
      </c>
      <c r="J260" s="13">
        <f>G260*E260</f>
        <v>5100</v>
      </c>
      <c r="K260" s="2" t="s">
        <v>209</v>
      </c>
    </row>
    <row r="261" spans="2:17" x14ac:dyDescent="0.2">
      <c r="B261" s="5"/>
      <c r="C261" s="17"/>
      <c r="D261" s="15"/>
      <c r="E261" s="15"/>
      <c r="F261" s="15"/>
      <c r="G261" s="15"/>
      <c r="H261" s="15"/>
      <c r="I261" s="15"/>
      <c r="J261" s="33"/>
      <c r="K261" s="15"/>
      <c r="L261" s="15"/>
      <c r="M261" s="15"/>
      <c r="N261" s="15"/>
      <c r="O261" s="15"/>
      <c r="P261" s="15"/>
      <c r="Q261" s="15"/>
    </row>
    <row r="262" spans="2:17" x14ac:dyDescent="0.2">
      <c r="B262" s="5"/>
      <c r="C262" s="34" t="s">
        <v>219</v>
      </c>
      <c r="D262" s="15"/>
      <c r="E262" s="15"/>
      <c r="F262" s="15"/>
      <c r="G262" s="15"/>
      <c r="H262" s="15"/>
      <c r="I262" s="15"/>
      <c r="J262" s="33">
        <f>SUM(J251:J260)</f>
        <v>44982.021879309308</v>
      </c>
      <c r="K262" s="34" t="s">
        <v>209</v>
      </c>
      <c r="L262" s="15"/>
      <c r="M262" s="15"/>
      <c r="N262" s="15"/>
      <c r="O262" s="15"/>
      <c r="P262" s="15"/>
      <c r="Q262" s="15"/>
    </row>
    <row r="263" spans="2:17" x14ac:dyDescent="0.2">
      <c r="B263" s="5"/>
      <c r="C263" s="17"/>
      <c r="D263" s="15"/>
      <c r="E263" s="15"/>
      <c r="F263" s="15"/>
      <c r="G263" s="15"/>
      <c r="H263" s="15"/>
      <c r="I263" s="15"/>
      <c r="J263" s="33"/>
      <c r="K263" s="15"/>
      <c r="L263" s="15"/>
      <c r="M263" s="15"/>
      <c r="N263" s="15"/>
      <c r="O263" s="15"/>
      <c r="P263" s="15"/>
      <c r="Q263" s="15"/>
    </row>
    <row r="264" spans="2:17" x14ac:dyDescent="0.2">
      <c r="J264" s="13"/>
    </row>
    <row r="265" spans="2:17" x14ac:dyDescent="0.2">
      <c r="B265" s="2" t="s">
        <v>75</v>
      </c>
      <c r="C265" s="5" t="s">
        <v>77</v>
      </c>
    </row>
    <row r="266" spans="2:17" x14ac:dyDescent="0.2">
      <c r="C266" s="5" t="s">
        <v>78</v>
      </c>
    </row>
    <row r="269" spans="2:17" x14ac:dyDescent="0.2">
      <c r="C269" s="2">
        <v>45000</v>
      </c>
      <c r="D269" t="s">
        <v>131</v>
      </c>
      <c r="L269" s="13"/>
      <c r="M269" s="2"/>
    </row>
    <row r="271" spans="2:17" x14ac:dyDescent="0.2">
      <c r="C271" s="14" t="s">
        <v>220</v>
      </c>
      <c r="J271" s="13">
        <f>J262</f>
        <v>44982.021879309308</v>
      </c>
      <c r="K271" s="2" t="s">
        <v>209</v>
      </c>
      <c r="L271" s="13"/>
      <c r="M271" s="2"/>
    </row>
    <row r="272" spans="2:17" x14ac:dyDescent="0.2">
      <c r="C272" s="14"/>
      <c r="H272" s="2"/>
      <c r="J272" s="2"/>
      <c r="M272" s="2"/>
    </row>
    <row r="273" spans="3:17" x14ac:dyDescent="0.2">
      <c r="C273" s="2" t="s">
        <v>221</v>
      </c>
      <c r="J273">
        <f>7*5*30</f>
        <v>1050</v>
      </c>
      <c r="K273" s="2" t="s">
        <v>209</v>
      </c>
    </row>
    <row r="274" spans="3:17" s="4" customFormat="1" x14ac:dyDescent="0.2">
      <c r="L274" s="16"/>
    </row>
    <row r="275" spans="3:17" x14ac:dyDescent="0.2">
      <c r="C275" s="2" t="s">
        <v>222</v>
      </c>
      <c r="F275">
        <v>60</v>
      </c>
      <c r="G275" s="2" t="s">
        <v>138</v>
      </c>
      <c r="H275" s="2" t="s">
        <v>223</v>
      </c>
      <c r="J275">
        <f>60*25</f>
        <v>1500</v>
      </c>
      <c r="K275" s="2" t="s">
        <v>209</v>
      </c>
    </row>
    <row r="276" spans="3:17" x14ac:dyDescent="0.2">
      <c r="C276" s="14"/>
    </row>
    <row r="277" spans="3:17" x14ac:dyDescent="0.2">
      <c r="C277" s="2" t="s">
        <v>224</v>
      </c>
      <c r="D277" s="4"/>
      <c r="E277" s="4"/>
      <c r="F277" s="4"/>
      <c r="G277" s="4"/>
      <c r="H277" s="4"/>
      <c r="I277" s="4"/>
      <c r="J277" s="2">
        <v>2000</v>
      </c>
      <c r="K277" s="2" t="s">
        <v>209</v>
      </c>
      <c r="L277" s="4"/>
      <c r="M277" s="4"/>
      <c r="N277" s="4"/>
      <c r="O277" s="4"/>
      <c r="P277" s="4"/>
      <c r="Q277" s="4"/>
    </row>
    <row r="278" spans="3:17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16"/>
      <c r="Q278" s="4"/>
    </row>
    <row r="280" spans="3:17" x14ac:dyDescent="0.2">
      <c r="C280" s="2" t="s">
        <v>225</v>
      </c>
      <c r="J280" s="13">
        <f>SUM(J271:J277)</f>
        <v>49532.021879309308</v>
      </c>
      <c r="K280" s="2" t="s">
        <v>209</v>
      </c>
    </row>
    <row r="281" spans="3:17" x14ac:dyDescent="0.2">
      <c r="J281">
        <v>495</v>
      </c>
      <c r="K281" s="2" t="s">
        <v>187</v>
      </c>
    </row>
    <row r="283" spans="3:17" x14ac:dyDescent="0.2">
      <c r="C283" s="2" t="s">
        <v>226</v>
      </c>
      <c r="J283">
        <v>500</v>
      </c>
      <c r="K283" s="2" t="s">
        <v>187</v>
      </c>
    </row>
    <row r="285" spans="3:17" x14ac:dyDescent="0.2">
      <c r="C285" s="2" t="s">
        <v>227</v>
      </c>
      <c r="J285">
        <v>450</v>
      </c>
      <c r="K285" s="2" t="s">
        <v>187</v>
      </c>
    </row>
  </sheetData>
  <sortState ref="C158:Q171">
    <sortCondition ref="P158:P171"/>
  </sortState>
  <phoneticPr fontId="2" type="noConversion"/>
  <pageMargins left="0.78740157499999996" right="0.78740157499999996" top="0.984251969" bottom="0.984251969" header="0.4921259845" footer="0.4921259845"/>
  <pageSetup paperSize="9" scale="6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2:E8"/>
  <sheetViews>
    <sheetView zoomScale="205" zoomScaleNormal="205" workbookViewId="0">
      <selection activeCell="F6" sqref="F6"/>
    </sheetView>
  </sheetViews>
  <sheetFormatPr baseColWidth="10" defaultRowHeight="12.75" x14ac:dyDescent="0.2"/>
  <sheetData>
    <row r="2" spans="2:5" x14ac:dyDescent="0.2">
      <c r="B2" s="4"/>
      <c r="C2" s="4"/>
      <c r="D2" s="4"/>
      <c r="E2" s="4"/>
    </row>
    <row r="3" spans="2:5" x14ac:dyDescent="0.2">
      <c r="C3" s="5"/>
      <c r="D3" s="5"/>
    </row>
    <row r="4" spans="2:5" x14ac:dyDescent="0.2">
      <c r="C4" s="5"/>
      <c r="D4" s="5"/>
    </row>
    <row r="5" spans="2:5" x14ac:dyDescent="0.2">
      <c r="C5" s="5"/>
      <c r="D5" s="5"/>
    </row>
    <row r="6" spans="2:5" x14ac:dyDescent="0.2">
      <c r="C6" s="5"/>
      <c r="D6" s="5"/>
    </row>
    <row r="7" spans="2:5" x14ac:dyDescent="0.2">
      <c r="C7" s="5"/>
      <c r="D7" s="5"/>
    </row>
    <row r="8" spans="2:5" x14ac:dyDescent="0.2">
      <c r="C8" s="5"/>
      <c r="D8" s="5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Durchschnittskosten_hohe Entfer</vt:lpstr>
      <vt:lpstr>Grenzkosten</vt:lpstr>
      <vt:lpstr>Durchschnittskosten</vt:lpstr>
      <vt:lpstr>Tabelle2</vt:lpstr>
      <vt:lpstr>Tabelle3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xxxxx</cp:lastModifiedBy>
  <cp:lastPrinted>2019-01-30T14:43:25Z</cp:lastPrinted>
  <dcterms:created xsi:type="dcterms:W3CDTF">1996-10-17T05:27:31Z</dcterms:created>
  <dcterms:modified xsi:type="dcterms:W3CDTF">2022-06-13T10:35:02Z</dcterms:modified>
</cp:coreProperties>
</file>