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ml.chartshapes+xml"/>
  <Override PartName="/xl/charts/chart11.xml" ContentType="application/vnd.openxmlformats-officedocument.drawingml.chart+xml"/>
  <Override PartName="/xl/drawings/drawing6.xml" ContentType="application/vnd.openxmlformats-officedocument.drawingml.chartshapes+xml"/>
  <Override PartName="/xl/charts/chart12.xml" ContentType="application/vnd.openxmlformats-officedocument.drawingml.chart+xml"/>
  <Override PartName="/xl/drawings/drawing7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ml.chartshapes+xml"/>
  <Override PartName="/xl/charts/chart1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ml.chartshapes+xml"/>
  <Override PartName="/xl/charts/chart1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0.xml" ContentType="application/vnd.openxmlformats-officedocument.drawingml.chartshapes+xml"/>
  <Override PartName="/xl/charts/chart1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omments1.xml" ContentType="application/vnd.openxmlformats-officedocument.spreadsheetml.comments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3.xml" ContentType="application/vnd.openxmlformats-officedocument.drawing+xml"/>
  <Override PartName="/xl/comments2.xml" ContentType="application/vnd.openxmlformats-officedocument.spreadsheetml.comments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4.xml" ContentType="application/vnd.openxmlformats-officedocument.drawing+xml"/>
  <Override PartName="/xl/comments3.xml" ContentType="application/vnd.openxmlformats-officedocument.spreadsheetml.comments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5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3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9.xml" ContentType="application/vnd.openxmlformats-officedocument.drawingml.chartshapes+xml"/>
  <Override PartName="/xl/charts/chart3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0.xml" ContentType="application/vnd.openxmlformats-officedocument.drawingml.chartshapes+xml"/>
  <Override PartName="/xl/charts/chart3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3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3.xml" ContentType="application/vnd.openxmlformats-officedocument.drawingml.chartshapes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codeName="DieseArbeitsmappe"/>
  <mc:AlternateContent xmlns:mc="http://schemas.openxmlformats.org/markup-compatibility/2006">
    <mc:Choice Requires="x15">
      <x15ac:absPath xmlns:x15ac="http://schemas.microsoft.com/office/spreadsheetml/2010/11/ac" url="D:\Agrartechnik\UPLA\"/>
    </mc:Choice>
  </mc:AlternateContent>
  <xr:revisionPtr revIDLastSave="0" documentId="13_ncr:1_{155A4BB5-9B29-4574-A728-32AC38B074B0}" xr6:coauthVersionLast="36" xr6:coauthVersionMax="36" xr10:uidLastSave="{00000000-0000-0000-0000-000000000000}"/>
  <bookViews>
    <workbookView xWindow="0" yWindow="0" windowWidth="7728" windowHeight="4608" tabRatio="681" xr2:uid="{00000000-000D-0000-FFFF-FFFF00000000}"/>
  </bookViews>
  <sheets>
    <sheet name="Inhalt" sheetId="1" r:id="rId1"/>
    <sheet name="Text" sheetId="3" r:id="rId2"/>
    <sheet name="Traktor" sheetId="6" r:id="rId3"/>
    <sheet name="MDresch" sheetId="21" r:id="rId4"/>
    <sheet name="SF-Häcksler" sheetId="20" r:id="rId5"/>
    <sheet name="MaKo Formular2" sheetId="22" r:id="rId6"/>
    <sheet name="MaKo Formular3" sheetId="27" r:id="rId7"/>
    <sheet name="Bsp VerfKo Pfügen" sheetId="29" r:id="rId8"/>
    <sheet name="BSp Gebrauchtmaschine" sheetId="23" r:id="rId9"/>
    <sheet name="MEU-Übersicht" sheetId="17" r:id="rId10"/>
    <sheet name="MEU Übung" sheetId="18" r:id="rId11"/>
    <sheet name="Bsp Stall" sheetId="24" r:id="rId12"/>
    <sheet name="Bsp Stall 2" sheetId="26" r:id="rId13"/>
    <sheet name="Progressive AfA" sheetId="13" r:id="rId14"/>
    <sheet name="Digitale AfA" sheetId="15" r:id="rId15"/>
    <sheet name="AfA" sheetId="25" r:id="rId16"/>
    <sheet name="MaKo Formular3 ohne Formeln" sheetId="28" r:id="rId17"/>
  </sheets>
  <definedNames>
    <definedName name="_Fill" localSheetId="12" hidden="1">#REF!</definedName>
    <definedName name="_Fill" localSheetId="6" hidden="1">#REF!</definedName>
    <definedName name="_Fill" localSheetId="16" hidden="1">#REF!</definedName>
    <definedName name="_Fill" hidden="1">#REF!</definedName>
    <definedName name="_Table2_In1" localSheetId="12" hidden="1">#REF!</definedName>
    <definedName name="_Table2_In1" localSheetId="6" hidden="1">#REF!</definedName>
    <definedName name="_Table2_In1" localSheetId="16" hidden="1">#REF!</definedName>
    <definedName name="_Table2_In1" hidden="1">#REF!</definedName>
    <definedName name="_Table2_In2" localSheetId="12" hidden="1">#REF!</definedName>
    <definedName name="_Table2_In2" localSheetId="6" hidden="1">#REF!</definedName>
    <definedName name="_Table2_In2" localSheetId="16" hidden="1">#REF!</definedName>
    <definedName name="_Table2_In2" hidden="1">#REF!</definedName>
    <definedName name="_Table2_Out" localSheetId="12" hidden="1">#REF!</definedName>
    <definedName name="_Table2_Out" localSheetId="6" hidden="1">#REF!</definedName>
    <definedName name="_Table2_Out" localSheetId="16" hidden="1">#REF!</definedName>
    <definedName name="_Table2_Out" hidden="1">#REF!</definedName>
    <definedName name="DBLATT">Inhalt!$C$1:$AN$47</definedName>
    <definedName name="_xlnm.Print_Area" localSheetId="15">AfA!$C$2:$W$20</definedName>
    <definedName name="_xlnm.Print_Area" localSheetId="8">'BSp Gebrauchtmaschine'!$C$1:$P$87</definedName>
    <definedName name="_xlnm.Print_Area" localSheetId="11">'Bsp Stall'!$C$1:$O$47</definedName>
    <definedName name="_xlnm.Print_Area" localSheetId="12">'Bsp Stall 2'!$C$1:$O$47</definedName>
    <definedName name="_xlnm.Print_Area" localSheetId="7">'Bsp VerfKo Pfügen'!$O$1:$Z$55</definedName>
    <definedName name="_xlnm.Print_Area" localSheetId="14">'Digitale AfA'!$B$1:$T$60</definedName>
    <definedName name="_xlnm.Print_Area" localSheetId="0">Inhalt!$C$1:$X$45</definedName>
    <definedName name="_xlnm.Print_Area" localSheetId="5">'MaKo Formular2'!$C$1:$P$40</definedName>
    <definedName name="_xlnm.Print_Area" localSheetId="6">'MaKo Formular3'!$C$1:$O$33</definedName>
    <definedName name="_xlnm.Print_Area" localSheetId="16">'MaKo Formular3 ohne Formeln'!$C$1:$O$48</definedName>
    <definedName name="_xlnm.Print_Area" localSheetId="3">MDresch!$B$1:$U$72</definedName>
    <definedName name="_xlnm.Print_Area" localSheetId="10">'MEU Übung'!$R$1:$AD$52</definedName>
    <definedName name="_xlnm.Print_Area" localSheetId="9">'MEU-Übersicht'!$C$1:$P$45</definedName>
    <definedName name="_xlnm.Print_Area" localSheetId="13">'Progressive AfA'!$B$1:$T$60</definedName>
    <definedName name="_xlnm.Print_Area" localSheetId="4">'SF-Häcksler'!$B$1:$U$72</definedName>
    <definedName name="_xlnm.Print_Area" localSheetId="1">Text!$C$1:$Q$1661</definedName>
    <definedName name="_xlnm.Print_Area" localSheetId="2">Traktor!$B$1:$U$72</definedName>
    <definedName name="Exponent" localSheetId="1">Text!$F$21</definedName>
  </definedNames>
  <calcPr calcId="191029"/>
</workbook>
</file>

<file path=xl/calcChain.xml><?xml version="1.0" encoding="utf-8"?>
<calcChain xmlns="http://schemas.openxmlformats.org/spreadsheetml/2006/main">
  <c r="X21" i="23" l="1"/>
  <c r="Z22" i="23"/>
  <c r="Z21" i="23"/>
  <c r="F39" i="29" l="1"/>
  <c r="F41" i="29"/>
  <c r="J41" i="29"/>
  <c r="H23" i="29" l="1"/>
  <c r="J27" i="29"/>
  <c r="L27" i="29" s="1"/>
  <c r="L41" i="29" s="1"/>
  <c r="L33" i="29"/>
  <c r="N27" i="27" l="1"/>
  <c r="P1326" i="3"/>
  <c r="L1321" i="3"/>
  <c r="N1324" i="3" l="1"/>
  <c r="P1324" i="3" s="1"/>
  <c r="O1197" i="3"/>
  <c r="N1189" i="3"/>
  <c r="R22" i="26" l="1"/>
  <c r="E24" i="29" l="1"/>
  <c r="H24" i="29" s="1"/>
  <c r="K40" i="29" s="1"/>
  <c r="J43" i="29" s="1"/>
  <c r="J23" i="29"/>
  <c r="J17" i="29"/>
  <c r="J18" i="29" s="1"/>
  <c r="J19" i="29" s="1"/>
  <c r="J20" i="29" s="1"/>
  <c r="E17" i="29"/>
  <c r="H17" i="29" s="1"/>
  <c r="L17" i="29" s="1"/>
  <c r="P1200" i="3"/>
  <c r="O87" i="23"/>
  <c r="O77" i="23"/>
  <c r="N77" i="23"/>
  <c r="M77" i="23"/>
  <c r="L77" i="23"/>
  <c r="K77" i="23"/>
  <c r="J77" i="23"/>
  <c r="I77" i="23"/>
  <c r="H77" i="23"/>
  <c r="G77" i="23"/>
  <c r="F77" i="23"/>
  <c r="O76" i="23"/>
  <c r="N76" i="23"/>
  <c r="M76" i="23"/>
  <c r="L76" i="23"/>
  <c r="K76" i="23"/>
  <c r="J76" i="23"/>
  <c r="I76" i="23"/>
  <c r="H76" i="23"/>
  <c r="G76" i="23"/>
  <c r="F76" i="23"/>
  <c r="O75" i="23"/>
  <c r="N75" i="23"/>
  <c r="M75" i="23"/>
  <c r="L75" i="23"/>
  <c r="K75" i="23"/>
  <c r="J75" i="23"/>
  <c r="I75" i="23"/>
  <c r="H75" i="23"/>
  <c r="G75" i="23"/>
  <c r="F75" i="23"/>
  <c r="O74" i="23"/>
  <c r="N74" i="23"/>
  <c r="M74" i="23"/>
  <c r="L74" i="23"/>
  <c r="K74" i="23"/>
  <c r="J74" i="23"/>
  <c r="I74" i="23"/>
  <c r="H74" i="23"/>
  <c r="G74" i="23"/>
  <c r="F74" i="23"/>
  <c r="O73" i="23"/>
  <c r="N73" i="23"/>
  <c r="M73" i="23"/>
  <c r="L73" i="23"/>
  <c r="K73" i="23"/>
  <c r="J73" i="23"/>
  <c r="I73" i="23"/>
  <c r="H73" i="23"/>
  <c r="G73" i="23"/>
  <c r="F73" i="23"/>
  <c r="O72" i="23"/>
  <c r="N72" i="23"/>
  <c r="M72" i="23"/>
  <c r="L72" i="23"/>
  <c r="K72" i="23"/>
  <c r="J72" i="23"/>
  <c r="I72" i="23"/>
  <c r="H72" i="23"/>
  <c r="G72" i="23"/>
  <c r="F72" i="23"/>
  <c r="O71" i="23"/>
  <c r="N71" i="23"/>
  <c r="M71" i="23"/>
  <c r="L71" i="23"/>
  <c r="K71" i="23"/>
  <c r="J71" i="23"/>
  <c r="I71" i="23"/>
  <c r="H71" i="23"/>
  <c r="G71" i="23"/>
  <c r="F71" i="23"/>
  <c r="O70" i="23"/>
  <c r="N70" i="23"/>
  <c r="M70" i="23"/>
  <c r="L70" i="23"/>
  <c r="K70" i="23"/>
  <c r="J70" i="23"/>
  <c r="I70" i="23"/>
  <c r="H70" i="23"/>
  <c r="G70" i="23"/>
  <c r="F70" i="23"/>
  <c r="O69" i="23"/>
  <c r="N69" i="23"/>
  <c r="M69" i="23"/>
  <c r="L69" i="23"/>
  <c r="K69" i="23"/>
  <c r="J69" i="23"/>
  <c r="I69" i="23"/>
  <c r="H69" i="23"/>
  <c r="G69" i="23"/>
  <c r="F69" i="23"/>
  <c r="O68" i="23"/>
  <c r="N68" i="23"/>
  <c r="M68" i="23"/>
  <c r="L68" i="23"/>
  <c r="K68" i="23"/>
  <c r="J68" i="23"/>
  <c r="I68" i="23"/>
  <c r="H68" i="23"/>
  <c r="G68" i="23"/>
  <c r="F68" i="23"/>
  <c r="O63" i="23"/>
  <c r="O62" i="23"/>
  <c r="N62" i="23"/>
  <c r="O61" i="23"/>
  <c r="N61" i="23"/>
  <c r="M61" i="23"/>
  <c r="O60" i="23"/>
  <c r="N60" i="23"/>
  <c r="M60" i="23"/>
  <c r="L60" i="23"/>
  <c r="O59" i="23"/>
  <c r="N59" i="23"/>
  <c r="M59" i="23"/>
  <c r="L59" i="23"/>
  <c r="K59" i="23"/>
  <c r="O58" i="23"/>
  <c r="N58" i="23"/>
  <c r="M58" i="23"/>
  <c r="L58" i="23"/>
  <c r="K58" i="23"/>
  <c r="J58" i="23"/>
  <c r="O57" i="23"/>
  <c r="N57" i="23"/>
  <c r="M57" i="23"/>
  <c r="L57" i="23"/>
  <c r="K57" i="23"/>
  <c r="J57" i="23"/>
  <c r="I57" i="23"/>
  <c r="O56" i="23"/>
  <c r="N56" i="23"/>
  <c r="M56" i="23"/>
  <c r="L56" i="23"/>
  <c r="K56" i="23"/>
  <c r="J56" i="23"/>
  <c r="I56" i="23"/>
  <c r="H56" i="23"/>
  <c r="O55" i="23"/>
  <c r="N55" i="23"/>
  <c r="M55" i="23"/>
  <c r="L55" i="23"/>
  <c r="K55" i="23"/>
  <c r="J55" i="23"/>
  <c r="I55" i="23"/>
  <c r="H55" i="23"/>
  <c r="G55" i="23"/>
  <c r="O54" i="23"/>
  <c r="N54" i="23"/>
  <c r="M54" i="23"/>
  <c r="L54" i="23"/>
  <c r="K54" i="23"/>
  <c r="J54" i="23"/>
  <c r="I54" i="23"/>
  <c r="H54" i="23"/>
  <c r="G54" i="23"/>
  <c r="F54" i="23"/>
  <c r="L33" i="28"/>
  <c r="I33" i="28"/>
  <c r="L32" i="28"/>
  <c r="L30" i="28"/>
  <c r="L29" i="28"/>
  <c r="I29" i="28"/>
  <c r="L28" i="28"/>
  <c r="L27" i="28"/>
  <c r="L26" i="28"/>
  <c r="L24" i="28"/>
  <c r="I24" i="28"/>
  <c r="L23" i="28"/>
  <c r="L22" i="28"/>
  <c r="I22" i="28"/>
  <c r="L21" i="28"/>
  <c r="I21" i="28"/>
  <c r="L20" i="28"/>
  <c r="L19" i="28"/>
  <c r="O15" i="28"/>
  <c r="M15" i="28"/>
  <c r="K15" i="28"/>
  <c r="O14" i="28"/>
  <c r="M14" i="28"/>
  <c r="K14" i="28"/>
  <c r="G12" i="28"/>
  <c r="G11" i="28"/>
  <c r="O6" i="28"/>
  <c r="O3" i="28"/>
  <c r="O19" i="22"/>
  <c r="N19" i="27"/>
  <c r="M19" i="22"/>
  <c r="F12" i="27"/>
  <c r="N15" i="27"/>
  <c r="N14" i="27"/>
  <c r="N6" i="27"/>
  <c r="N26" i="27" s="1"/>
  <c r="N20" i="27"/>
  <c r="M20" i="27"/>
  <c r="L33" i="27"/>
  <c r="I33" i="27"/>
  <c r="L32" i="27"/>
  <c r="L30" i="27"/>
  <c r="L29" i="27"/>
  <c r="I29" i="27"/>
  <c r="L28" i="27"/>
  <c r="O27" i="27"/>
  <c r="L27" i="27"/>
  <c r="L26" i="27"/>
  <c r="L24" i="27"/>
  <c r="I24" i="27"/>
  <c r="L23" i="27"/>
  <c r="L22" i="27"/>
  <c r="I22" i="27"/>
  <c r="O22" i="27" s="1"/>
  <c r="L21" i="27"/>
  <c r="I21" i="27"/>
  <c r="M21" i="27" s="1"/>
  <c r="O20" i="27"/>
  <c r="L20" i="27"/>
  <c r="L19" i="27"/>
  <c r="O15" i="27"/>
  <c r="M15" i="27"/>
  <c r="K15" i="27"/>
  <c r="O14" i="27"/>
  <c r="M14" i="27"/>
  <c r="K14" i="27"/>
  <c r="O12" i="27"/>
  <c r="M27" i="27" s="1"/>
  <c r="G12" i="27"/>
  <c r="G11" i="27"/>
  <c r="F11" i="27"/>
  <c r="H12" i="27" s="1"/>
  <c r="O6" i="27"/>
  <c r="O3" i="27"/>
  <c r="O26" i="27" l="1"/>
  <c r="J24" i="29"/>
  <c r="J25" i="29" s="1"/>
  <c r="L25" i="29" s="1"/>
  <c r="L23" i="29"/>
  <c r="N21" i="27"/>
  <c r="N22" i="27"/>
  <c r="M22" i="27"/>
  <c r="O19" i="27"/>
  <c r="M19" i="27"/>
  <c r="O28" i="27"/>
  <c r="N28" i="27"/>
  <c r="M28" i="27"/>
  <c r="M26" i="27"/>
  <c r="Y36" i="26"/>
  <c r="H23" i="26"/>
  <c r="Y45" i="26"/>
  <c r="Y41" i="26"/>
  <c r="Y40" i="26"/>
  <c r="Y39" i="26"/>
  <c r="Y32" i="26"/>
  <c r="AC32" i="26" s="1"/>
  <c r="Y31" i="26"/>
  <c r="AC31" i="26" s="1"/>
  <c r="Y30" i="26"/>
  <c r="AC30" i="26" s="1"/>
  <c r="H24" i="26"/>
  <c r="V41" i="26" s="1"/>
  <c r="H22" i="26"/>
  <c r="M23" i="27" l="1"/>
  <c r="M24" i="27" s="1"/>
  <c r="L24" i="29"/>
  <c r="L29" i="29" s="1"/>
  <c r="N29" i="27"/>
  <c r="N23" i="27"/>
  <c r="N24" i="27" s="1"/>
  <c r="O21" i="27"/>
  <c r="O23" i="27" s="1"/>
  <c r="O24" i="27" s="1"/>
  <c r="M29" i="27"/>
  <c r="O29" i="27"/>
  <c r="AA41" i="26"/>
  <c r="AE41" i="26" s="1"/>
  <c r="V40" i="26"/>
  <c r="AA40" i="26" s="1"/>
  <c r="AE40" i="26" s="1"/>
  <c r="M23" i="26"/>
  <c r="V31" i="26"/>
  <c r="AA31" i="26" s="1"/>
  <c r="AE31" i="26" s="1"/>
  <c r="H25" i="26"/>
  <c r="Y49" i="26" s="1"/>
  <c r="M22" i="26"/>
  <c r="V30" i="26"/>
  <c r="V39" i="26"/>
  <c r="M24" i="26"/>
  <c r="V32" i="26"/>
  <c r="AA32" i="26" s="1"/>
  <c r="AE32" i="26" s="1"/>
  <c r="Z24" i="23"/>
  <c r="X24" i="23"/>
  <c r="M33" i="27" l="1"/>
  <c r="M30" i="27"/>
  <c r="M32" i="27" s="1"/>
  <c r="O33" i="27"/>
  <c r="O30" i="27"/>
  <c r="O32" i="27" s="1"/>
  <c r="N33" i="27"/>
  <c r="N30" i="27"/>
  <c r="N32" i="27" s="1"/>
  <c r="AA30" i="26"/>
  <c r="V33" i="26"/>
  <c r="V45" i="26"/>
  <c r="AA45" i="26" s="1"/>
  <c r="AE45" i="26" s="1"/>
  <c r="M25" i="26"/>
  <c r="AA39" i="26"/>
  <c r="V42" i="26"/>
  <c r="C79" i="25"/>
  <c r="C80" i="25" s="1"/>
  <c r="D80" i="25" s="1"/>
  <c r="D78" i="25"/>
  <c r="E78" i="25" s="1"/>
  <c r="F78" i="25" s="1"/>
  <c r="G78" i="25" s="1"/>
  <c r="H78" i="25" s="1"/>
  <c r="I78" i="25" s="1"/>
  <c r="J78" i="25" s="1"/>
  <c r="K78" i="25" s="1"/>
  <c r="L78" i="25" s="1"/>
  <c r="M78" i="25" s="1"/>
  <c r="N78" i="25" s="1"/>
  <c r="O78" i="25" s="1"/>
  <c r="P78" i="25" s="1"/>
  <c r="Q78" i="25" s="1"/>
  <c r="R78" i="25" s="1"/>
  <c r="S78" i="25" s="1"/>
  <c r="T78" i="25" s="1"/>
  <c r="U78" i="25" s="1"/>
  <c r="V78" i="25" s="1"/>
  <c r="W78" i="25" s="1"/>
  <c r="E75" i="25"/>
  <c r="F73" i="25"/>
  <c r="G73" i="25" s="1"/>
  <c r="H73" i="25" s="1"/>
  <c r="I73" i="25" s="1"/>
  <c r="J73" i="25" s="1"/>
  <c r="K73" i="25" s="1"/>
  <c r="L73" i="25" s="1"/>
  <c r="M73" i="25" s="1"/>
  <c r="N73" i="25" s="1"/>
  <c r="B74" i="25" s="1"/>
  <c r="E73" i="25"/>
  <c r="C55" i="25"/>
  <c r="D55" i="25" s="1"/>
  <c r="C54" i="25"/>
  <c r="C66" i="25" s="1"/>
  <c r="D66" i="25" s="1"/>
  <c r="E66" i="25" s="1"/>
  <c r="F66" i="25" s="1"/>
  <c r="G66" i="25" s="1"/>
  <c r="H66" i="25" s="1"/>
  <c r="I66" i="25" s="1"/>
  <c r="J66" i="25" s="1"/>
  <c r="K66" i="25" s="1"/>
  <c r="L66" i="25" s="1"/>
  <c r="M66" i="25" s="1"/>
  <c r="N66" i="25" s="1"/>
  <c r="O66" i="25" s="1"/>
  <c r="P66" i="25" s="1"/>
  <c r="Q66" i="25" s="1"/>
  <c r="R66" i="25" s="1"/>
  <c r="S66" i="25" s="1"/>
  <c r="T66" i="25" s="1"/>
  <c r="U66" i="25" s="1"/>
  <c r="V66" i="25" s="1"/>
  <c r="W66" i="25" s="1"/>
  <c r="D53" i="25"/>
  <c r="E53" i="25" s="1"/>
  <c r="F53" i="25" s="1"/>
  <c r="G53" i="25" s="1"/>
  <c r="H53" i="25" s="1"/>
  <c r="I53" i="25" s="1"/>
  <c r="J53" i="25" s="1"/>
  <c r="K53" i="25" s="1"/>
  <c r="L53" i="25" s="1"/>
  <c r="M53" i="25" s="1"/>
  <c r="N53" i="25" s="1"/>
  <c r="O53" i="25" s="1"/>
  <c r="P53" i="25" s="1"/>
  <c r="Q53" i="25" s="1"/>
  <c r="R53" i="25" s="1"/>
  <c r="S53" i="25" s="1"/>
  <c r="T53" i="25" s="1"/>
  <c r="U53" i="25" s="1"/>
  <c r="V53" i="25" s="1"/>
  <c r="W53" i="25" s="1"/>
  <c r="E50" i="25"/>
  <c r="E48" i="25"/>
  <c r="F48" i="25" s="1"/>
  <c r="G48" i="25" s="1"/>
  <c r="H48" i="25" s="1"/>
  <c r="I48" i="25" s="1"/>
  <c r="J48" i="25" s="1"/>
  <c r="K48" i="25" s="1"/>
  <c r="L48" i="25" s="1"/>
  <c r="M48" i="25" s="1"/>
  <c r="N48" i="25" s="1"/>
  <c r="B49" i="25" s="1"/>
  <c r="C42" i="25"/>
  <c r="D42" i="25" s="1"/>
  <c r="E42" i="25" s="1"/>
  <c r="F42" i="25" s="1"/>
  <c r="G42" i="25" s="1"/>
  <c r="H42" i="25" s="1"/>
  <c r="I42" i="25" s="1"/>
  <c r="J42" i="25" s="1"/>
  <c r="K42" i="25" s="1"/>
  <c r="L42" i="25" s="1"/>
  <c r="M42" i="25" s="1"/>
  <c r="N42" i="25" s="1"/>
  <c r="O42" i="25" s="1"/>
  <c r="P42" i="25" s="1"/>
  <c r="Q42" i="25" s="1"/>
  <c r="R42" i="25" s="1"/>
  <c r="S42" i="25" s="1"/>
  <c r="T42" i="25" s="1"/>
  <c r="U42" i="25" s="1"/>
  <c r="V42" i="25" s="1"/>
  <c r="W42" i="25" s="1"/>
  <c r="C31" i="25"/>
  <c r="D31" i="25" s="1"/>
  <c r="D30" i="25"/>
  <c r="E30" i="25" s="1"/>
  <c r="E31" i="25" s="1"/>
  <c r="E32" i="25" s="1"/>
  <c r="F32" i="25" s="1"/>
  <c r="D29" i="25"/>
  <c r="E29" i="25" s="1"/>
  <c r="F29" i="25" s="1"/>
  <c r="G29" i="25" s="1"/>
  <c r="H29" i="25" s="1"/>
  <c r="I29" i="25" s="1"/>
  <c r="J29" i="25" s="1"/>
  <c r="K29" i="25" s="1"/>
  <c r="L29" i="25" s="1"/>
  <c r="M29" i="25" s="1"/>
  <c r="N29" i="25" s="1"/>
  <c r="O29" i="25" s="1"/>
  <c r="P29" i="25" s="1"/>
  <c r="Q29" i="25" s="1"/>
  <c r="R29" i="25" s="1"/>
  <c r="S29" i="25" s="1"/>
  <c r="T29" i="25" s="1"/>
  <c r="U29" i="25" s="1"/>
  <c r="V29" i="25" s="1"/>
  <c r="W29" i="25" s="1"/>
  <c r="AA42" i="26" l="1"/>
  <c r="AE42" i="26" s="1"/>
  <c r="AE39" i="26"/>
  <c r="AA33" i="26"/>
  <c r="AE33" i="26" s="1"/>
  <c r="AE30" i="26"/>
  <c r="V36" i="26"/>
  <c r="AA36" i="26" s="1"/>
  <c r="E76" i="25"/>
  <c r="E74" i="25" s="1"/>
  <c r="E51" i="25"/>
  <c r="E49" i="25" s="1"/>
  <c r="F30" i="25"/>
  <c r="G30" i="25" s="1"/>
  <c r="C91" i="25"/>
  <c r="D91" i="25" s="1"/>
  <c r="E91" i="25" s="1"/>
  <c r="F91" i="25" s="1"/>
  <c r="G91" i="25" s="1"/>
  <c r="H91" i="25" s="1"/>
  <c r="I91" i="25" s="1"/>
  <c r="J91" i="25" s="1"/>
  <c r="K91" i="25" s="1"/>
  <c r="L91" i="25" s="1"/>
  <c r="M91" i="25" s="1"/>
  <c r="N91" i="25" s="1"/>
  <c r="O91" i="25" s="1"/>
  <c r="P91" i="25" s="1"/>
  <c r="Q91" i="25" s="1"/>
  <c r="R91" i="25" s="1"/>
  <c r="S91" i="25" s="1"/>
  <c r="T91" i="25" s="1"/>
  <c r="U91" i="25" s="1"/>
  <c r="V91" i="25" s="1"/>
  <c r="W91" i="25" s="1"/>
  <c r="Y33" i="26" l="1"/>
  <c r="AC33" i="26" s="1"/>
  <c r="AA47" i="26"/>
  <c r="AE47" i="26" s="1"/>
  <c r="AE36" i="26"/>
  <c r="D79" i="25"/>
  <c r="E79" i="25" s="1"/>
  <c r="E80" i="25" s="1"/>
  <c r="E81" i="25" s="1"/>
  <c r="F81" i="25" s="1"/>
  <c r="F75" i="25"/>
  <c r="F76" i="25" s="1"/>
  <c r="F74" i="25" s="1"/>
  <c r="D54" i="25"/>
  <c r="E54" i="25" s="1"/>
  <c r="E55" i="25" s="1"/>
  <c r="E56" i="25" s="1"/>
  <c r="F56" i="25" s="1"/>
  <c r="F50" i="25"/>
  <c r="F51" i="25" s="1"/>
  <c r="F49" i="25" s="1"/>
  <c r="H30" i="25"/>
  <c r="I30" i="25" s="1"/>
  <c r="G32" i="25"/>
  <c r="G33" i="25" s="1"/>
  <c r="H33" i="25" s="1"/>
  <c r="AA48" i="26" l="1"/>
  <c r="W49" i="26"/>
  <c r="AA49" i="26" s="1"/>
  <c r="I33" i="25"/>
  <c r="I34" i="25" s="1"/>
  <c r="J34" i="25" s="1"/>
  <c r="J30" i="25"/>
  <c r="K30" i="25" s="1"/>
  <c r="F54" i="25"/>
  <c r="G54" i="25" s="1"/>
  <c r="G56" i="25" s="1"/>
  <c r="G57" i="25" s="1"/>
  <c r="H57" i="25" s="1"/>
  <c r="G50" i="25"/>
  <c r="G51" i="25" s="1"/>
  <c r="G49" i="25" s="1"/>
  <c r="F79" i="25"/>
  <c r="G79" i="25" s="1"/>
  <c r="G81" i="25" s="1"/>
  <c r="G82" i="25" s="1"/>
  <c r="H82" i="25" s="1"/>
  <c r="G75" i="25"/>
  <c r="G76" i="25" s="1"/>
  <c r="G74" i="25" s="1"/>
  <c r="H50" i="25" l="1"/>
  <c r="H51" i="25" s="1"/>
  <c r="H49" i="25" s="1"/>
  <c r="H54" i="25"/>
  <c r="I54" i="25" s="1"/>
  <c r="I57" i="25" s="1"/>
  <c r="I58" i="25" s="1"/>
  <c r="J58" i="25" s="1"/>
  <c r="H79" i="25"/>
  <c r="I79" i="25" s="1"/>
  <c r="I82" i="25" s="1"/>
  <c r="I83" i="25" s="1"/>
  <c r="J83" i="25" s="1"/>
  <c r="H75" i="25"/>
  <c r="H76" i="25" s="1"/>
  <c r="H74" i="25" s="1"/>
  <c r="L30" i="25"/>
  <c r="M30" i="25" s="1"/>
  <c r="K34" i="25"/>
  <c r="K35" i="25" s="1"/>
  <c r="L35" i="25" s="1"/>
  <c r="I50" i="25" l="1"/>
  <c r="I51" i="25" s="1"/>
  <c r="I49" i="25" s="1"/>
  <c r="J54" i="25"/>
  <c r="K54" i="25" s="1"/>
  <c r="K58" i="25" s="1"/>
  <c r="K59" i="25" s="1"/>
  <c r="L59" i="25" s="1"/>
  <c r="I75" i="25"/>
  <c r="I76" i="25" s="1"/>
  <c r="I74" i="25" s="1"/>
  <c r="J79" i="25"/>
  <c r="K79" i="25" s="1"/>
  <c r="K83" i="25" s="1"/>
  <c r="K84" i="25" s="1"/>
  <c r="L84" i="25" s="1"/>
  <c r="M35" i="25"/>
  <c r="M36" i="25" s="1"/>
  <c r="N36" i="25" s="1"/>
  <c r="N30" i="25"/>
  <c r="O30" i="25" s="1"/>
  <c r="L79" i="25" l="1"/>
  <c r="M79" i="25" s="1"/>
  <c r="M84" i="25" s="1"/>
  <c r="M85" i="25" s="1"/>
  <c r="N85" i="25" s="1"/>
  <c r="J75" i="25"/>
  <c r="J76" i="25" s="1"/>
  <c r="J74" i="25" s="1"/>
  <c r="L54" i="25"/>
  <c r="M54" i="25" s="1"/>
  <c r="M59" i="25" s="1"/>
  <c r="M60" i="25" s="1"/>
  <c r="N60" i="25" s="1"/>
  <c r="J50" i="25"/>
  <c r="J51" i="25" s="1"/>
  <c r="J49" i="25" s="1"/>
  <c r="O36" i="25"/>
  <c r="O37" i="25" s="1"/>
  <c r="P37" i="25" s="1"/>
  <c r="P30" i="25"/>
  <c r="Q30" i="25" s="1"/>
  <c r="N79" i="25" l="1"/>
  <c r="O79" i="25" s="1"/>
  <c r="O85" i="25" s="1"/>
  <c r="O86" i="25" s="1"/>
  <c r="P86" i="25" s="1"/>
  <c r="K75" i="25"/>
  <c r="K76" i="25" s="1"/>
  <c r="K74" i="25" s="1"/>
  <c r="N54" i="25"/>
  <c r="O54" i="25" s="1"/>
  <c r="O60" i="25" s="1"/>
  <c r="O61" i="25" s="1"/>
  <c r="P61" i="25" s="1"/>
  <c r="K50" i="25"/>
  <c r="K51" i="25" s="1"/>
  <c r="K49" i="25" s="1"/>
  <c r="Q37" i="25"/>
  <c r="Q38" i="25" s="1"/>
  <c r="R38" i="25" s="1"/>
  <c r="R30" i="25"/>
  <c r="S30" i="25" s="1"/>
  <c r="S38" i="25" l="1"/>
  <c r="S39" i="25" s="1"/>
  <c r="T39" i="25" s="1"/>
  <c r="T30" i="25"/>
  <c r="U30" i="25" s="1"/>
  <c r="L50" i="25"/>
  <c r="L51" i="25" s="1"/>
  <c r="L49" i="25" s="1"/>
  <c r="P54" i="25"/>
  <c r="Q54" i="25" s="1"/>
  <c r="Q61" i="25" s="1"/>
  <c r="Q62" i="25" s="1"/>
  <c r="R62" i="25" s="1"/>
  <c r="P79" i="25"/>
  <c r="Q79" i="25" s="1"/>
  <c r="Q86" i="25" s="1"/>
  <c r="Q87" i="25" s="1"/>
  <c r="R87" i="25" s="1"/>
  <c r="L75" i="25"/>
  <c r="L76" i="25" s="1"/>
  <c r="L74" i="25" s="1"/>
  <c r="M75" i="25" l="1"/>
  <c r="M76" i="25" s="1"/>
  <c r="M74" i="25" s="1"/>
  <c r="R79" i="25"/>
  <c r="S79" i="25" s="1"/>
  <c r="S87" i="25" s="1"/>
  <c r="S88" i="25" s="1"/>
  <c r="T88" i="25" s="1"/>
  <c r="M50" i="25"/>
  <c r="M51" i="25" s="1"/>
  <c r="M49" i="25" s="1"/>
  <c r="R54" i="25"/>
  <c r="S54" i="25" s="1"/>
  <c r="S62" i="25" s="1"/>
  <c r="S63" i="25" s="1"/>
  <c r="T63" i="25" s="1"/>
  <c r="U39" i="25"/>
  <c r="U40" i="25" s="1"/>
  <c r="V40" i="25" s="1"/>
  <c r="V30" i="25"/>
  <c r="W30" i="25" s="1"/>
  <c r="W40" i="25" s="1"/>
  <c r="W41" i="25" s="1"/>
  <c r="T79" i="25" l="1"/>
  <c r="U79" i="25" s="1"/>
  <c r="U88" i="25" s="1"/>
  <c r="U89" i="25" s="1"/>
  <c r="V89" i="25" s="1"/>
  <c r="N75" i="25"/>
  <c r="N76" i="25" s="1"/>
  <c r="N74" i="25" s="1"/>
  <c r="N50" i="25"/>
  <c r="N51" i="25" s="1"/>
  <c r="N49" i="25" s="1"/>
  <c r="T54" i="25"/>
  <c r="U54" i="25" s="1"/>
  <c r="U63" i="25" s="1"/>
  <c r="U64" i="25" s="1"/>
  <c r="V64" i="25" s="1"/>
  <c r="V54" i="25" l="1"/>
  <c r="W54" i="25" s="1"/>
  <c r="W64" i="25" s="1"/>
  <c r="W65" i="25" s="1"/>
  <c r="C67" i="25"/>
  <c r="D67" i="25" s="1"/>
  <c r="E67" i="25" s="1"/>
  <c r="F67" i="25" s="1"/>
  <c r="G67" i="25" s="1"/>
  <c r="H67" i="25" s="1"/>
  <c r="I67" i="25" s="1"/>
  <c r="J67" i="25" s="1"/>
  <c r="K67" i="25" s="1"/>
  <c r="L67" i="25" s="1"/>
  <c r="M67" i="25" s="1"/>
  <c r="N67" i="25" s="1"/>
  <c r="O67" i="25" s="1"/>
  <c r="P67" i="25" s="1"/>
  <c r="Q67" i="25" s="1"/>
  <c r="R67" i="25" s="1"/>
  <c r="S67" i="25" s="1"/>
  <c r="T67" i="25" s="1"/>
  <c r="U67" i="25" s="1"/>
  <c r="V67" i="25" s="1"/>
  <c r="W67" i="25" s="1"/>
  <c r="V79" i="25"/>
  <c r="W79" i="25" s="1"/>
  <c r="W89" i="25" s="1"/>
  <c r="W90" i="25" s="1"/>
  <c r="C92" i="25"/>
  <c r="D92" i="25" s="1"/>
  <c r="E92" i="25" s="1"/>
  <c r="F92" i="25" s="1"/>
  <c r="G92" i="25" s="1"/>
  <c r="H92" i="25" s="1"/>
  <c r="I92" i="25" s="1"/>
  <c r="J92" i="25" s="1"/>
  <c r="K92" i="25" s="1"/>
  <c r="L92" i="25" s="1"/>
  <c r="M92" i="25" s="1"/>
  <c r="N92" i="25" s="1"/>
  <c r="O92" i="25" s="1"/>
  <c r="P92" i="25" s="1"/>
  <c r="Q92" i="25" s="1"/>
  <c r="R92" i="25" s="1"/>
  <c r="S92" i="25" s="1"/>
  <c r="T92" i="25" s="1"/>
  <c r="U92" i="25" s="1"/>
  <c r="V92" i="25" s="1"/>
  <c r="W92" i="25" s="1"/>
  <c r="M784" i="3" l="1"/>
  <c r="M730" i="3"/>
  <c r="I746" i="3"/>
  <c r="J746" i="3" s="1"/>
  <c r="K746" i="3" s="1"/>
  <c r="L746" i="3" s="1"/>
  <c r="M746" i="3" s="1"/>
  <c r="M785" i="3" s="1"/>
  <c r="I692" i="3"/>
  <c r="J692" i="3" s="1"/>
  <c r="K692" i="3" s="1"/>
  <c r="L692" i="3" s="1"/>
  <c r="M692" i="3" s="1"/>
  <c r="M731" i="3" s="1"/>
  <c r="H749" i="3"/>
  <c r="K784" i="3" s="1"/>
  <c r="H695" i="3"/>
  <c r="M725" i="3" s="1"/>
  <c r="S743" i="3"/>
  <c r="J774" i="3" s="1"/>
  <c r="S742" i="3"/>
  <c r="O772" i="3" s="1"/>
  <c r="H747" i="3"/>
  <c r="I748" i="3" s="1"/>
  <c r="H693" i="3"/>
  <c r="O725" i="3" s="1"/>
  <c r="P784" i="3" l="1"/>
  <c r="N788" i="3" s="1"/>
  <c r="J773" i="3"/>
  <c r="J780" i="3"/>
  <c r="Q772" i="3"/>
  <c r="Q730" i="3"/>
  <c r="O736" i="3" s="1"/>
  <c r="Q725" i="3"/>
  <c r="L736" i="3" s="1"/>
  <c r="I750" i="3"/>
  <c r="I749" i="3" s="1"/>
  <c r="J750" i="3"/>
  <c r="H751" i="3"/>
  <c r="I747" i="3"/>
  <c r="J748" i="3" s="1"/>
  <c r="N1321" i="3"/>
  <c r="N1317" i="3"/>
  <c r="N1318" i="3" s="1"/>
  <c r="N1319" i="3" s="1"/>
  <c r="N1320" i="3" s="1"/>
  <c r="N1322" i="3" l="1"/>
  <c r="N1323" i="3" s="1"/>
  <c r="P1323" i="3" s="1"/>
  <c r="P1321" i="3"/>
  <c r="L737" i="3"/>
  <c r="J749" i="3"/>
  <c r="K750" i="3"/>
  <c r="J747" i="3"/>
  <c r="K748" i="3" s="1"/>
  <c r="I751" i="3"/>
  <c r="AC45" i="23"/>
  <c r="AB24" i="23"/>
  <c r="AC42" i="23" s="1"/>
  <c r="AC9" i="23"/>
  <c r="D20" i="20"/>
  <c r="D18" i="20"/>
  <c r="D18" i="21"/>
  <c r="D20" i="21"/>
  <c r="D18" i="6"/>
  <c r="D20" i="6"/>
  <c r="Q936" i="3"/>
  <c r="M939" i="3" s="1"/>
  <c r="N939" i="3" s="1"/>
  <c r="K749" i="3" l="1"/>
  <c r="J751" i="3"/>
  <c r="K747" i="3"/>
  <c r="L748" i="3" s="1"/>
  <c r="L750" i="3"/>
  <c r="M940" i="3"/>
  <c r="N940" i="3" s="1"/>
  <c r="M941" i="3"/>
  <c r="N941" i="3" s="1"/>
  <c r="J7" i="13"/>
  <c r="J8" i="13" s="1"/>
  <c r="J9" i="13" s="1"/>
  <c r="J10" i="13" s="1"/>
  <c r="J11" i="13" s="1"/>
  <c r="J12" i="13" s="1"/>
  <c r="J13" i="13" s="1"/>
  <c r="J14" i="13" s="1"/>
  <c r="J15" i="13" s="1"/>
  <c r="L749" i="3" l="1"/>
  <c r="M749" i="3" s="1"/>
  <c r="M750" i="3"/>
  <c r="L747" i="3"/>
  <c r="M748" i="3" s="1"/>
  <c r="K751" i="3"/>
  <c r="P1079" i="3"/>
  <c r="P1078" i="3"/>
  <c r="O1078" i="3"/>
  <c r="P1077" i="3"/>
  <c r="O1077" i="3"/>
  <c r="N1077" i="3"/>
  <c r="P1076" i="3"/>
  <c r="O1076" i="3"/>
  <c r="N1076" i="3"/>
  <c r="M1076" i="3"/>
  <c r="P1075" i="3"/>
  <c r="O1075" i="3"/>
  <c r="N1075" i="3"/>
  <c r="M1075" i="3"/>
  <c r="L1075" i="3"/>
  <c r="P1074" i="3"/>
  <c r="O1074" i="3"/>
  <c r="N1074" i="3"/>
  <c r="M1074" i="3"/>
  <c r="L1074" i="3"/>
  <c r="K1074" i="3"/>
  <c r="P1073" i="3"/>
  <c r="O1073" i="3"/>
  <c r="N1073" i="3"/>
  <c r="M1073" i="3"/>
  <c r="L1073" i="3"/>
  <c r="K1073" i="3"/>
  <c r="J1073" i="3"/>
  <c r="P1072" i="3"/>
  <c r="O1072" i="3"/>
  <c r="N1072" i="3"/>
  <c r="M1072" i="3"/>
  <c r="L1072" i="3"/>
  <c r="K1072" i="3"/>
  <c r="J1072" i="3"/>
  <c r="I1072" i="3"/>
  <c r="P1071" i="3"/>
  <c r="O1071" i="3"/>
  <c r="N1071" i="3"/>
  <c r="M1071" i="3"/>
  <c r="L1071" i="3"/>
  <c r="K1071" i="3"/>
  <c r="J1071" i="3"/>
  <c r="I1071" i="3"/>
  <c r="H1071" i="3"/>
  <c r="P1070" i="3"/>
  <c r="O1070" i="3"/>
  <c r="N1070" i="3"/>
  <c r="M1070" i="3"/>
  <c r="L1070" i="3"/>
  <c r="K1070" i="3"/>
  <c r="J1070" i="3"/>
  <c r="I1070" i="3"/>
  <c r="H1070" i="3"/>
  <c r="G1070" i="3"/>
  <c r="G1084" i="3"/>
  <c r="H1084" i="3"/>
  <c r="I1084" i="3"/>
  <c r="J1084" i="3"/>
  <c r="K1084" i="3"/>
  <c r="L1084" i="3"/>
  <c r="M1084" i="3"/>
  <c r="N1084" i="3"/>
  <c r="O1084" i="3"/>
  <c r="P1084" i="3"/>
  <c r="G1085" i="3"/>
  <c r="H1085" i="3"/>
  <c r="I1085" i="3"/>
  <c r="J1085" i="3"/>
  <c r="K1085" i="3"/>
  <c r="L1085" i="3"/>
  <c r="M1085" i="3"/>
  <c r="N1085" i="3"/>
  <c r="O1085" i="3"/>
  <c r="P1085" i="3"/>
  <c r="G1086" i="3"/>
  <c r="H1086" i="3"/>
  <c r="I1086" i="3"/>
  <c r="J1086" i="3"/>
  <c r="K1086" i="3"/>
  <c r="L1086" i="3"/>
  <c r="M1086" i="3"/>
  <c r="N1086" i="3"/>
  <c r="O1086" i="3"/>
  <c r="P1086" i="3"/>
  <c r="G1087" i="3"/>
  <c r="H1087" i="3"/>
  <c r="I1087" i="3"/>
  <c r="J1087" i="3"/>
  <c r="K1087" i="3"/>
  <c r="L1087" i="3"/>
  <c r="M1087" i="3"/>
  <c r="N1087" i="3"/>
  <c r="O1087" i="3"/>
  <c r="P1087" i="3"/>
  <c r="G1088" i="3"/>
  <c r="H1088" i="3"/>
  <c r="I1088" i="3"/>
  <c r="J1088" i="3"/>
  <c r="K1088" i="3"/>
  <c r="L1088" i="3"/>
  <c r="M1088" i="3"/>
  <c r="N1088" i="3"/>
  <c r="O1088" i="3"/>
  <c r="P1088" i="3"/>
  <c r="G1089" i="3"/>
  <c r="H1089" i="3"/>
  <c r="I1089" i="3"/>
  <c r="J1089" i="3"/>
  <c r="K1089" i="3"/>
  <c r="L1089" i="3"/>
  <c r="M1089" i="3"/>
  <c r="N1089" i="3"/>
  <c r="O1089" i="3"/>
  <c r="P1089" i="3"/>
  <c r="G1090" i="3"/>
  <c r="H1090" i="3"/>
  <c r="I1090" i="3"/>
  <c r="J1090" i="3"/>
  <c r="K1090" i="3"/>
  <c r="L1090" i="3"/>
  <c r="M1090" i="3"/>
  <c r="N1090" i="3"/>
  <c r="O1090" i="3"/>
  <c r="P1090" i="3"/>
  <c r="G1091" i="3"/>
  <c r="H1091" i="3"/>
  <c r="I1091" i="3"/>
  <c r="J1091" i="3"/>
  <c r="K1091" i="3"/>
  <c r="L1091" i="3"/>
  <c r="M1091" i="3"/>
  <c r="N1091" i="3"/>
  <c r="O1091" i="3"/>
  <c r="P1091" i="3"/>
  <c r="G1092" i="3"/>
  <c r="H1092" i="3"/>
  <c r="I1092" i="3"/>
  <c r="J1092" i="3"/>
  <c r="K1092" i="3"/>
  <c r="L1092" i="3"/>
  <c r="M1092" i="3"/>
  <c r="N1092" i="3"/>
  <c r="O1092" i="3"/>
  <c r="P1092" i="3"/>
  <c r="G1093" i="3"/>
  <c r="H1093" i="3"/>
  <c r="I1093" i="3"/>
  <c r="J1093" i="3"/>
  <c r="K1093" i="3"/>
  <c r="L1093" i="3"/>
  <c r="M1093" i="3"/>
  <c r="N1093" i="3"/>
  <c r="O1093" i="3"/>
  <c r="P1093" i="3"/>
  <c r="I1415" i="3"/>
  <c r="N1415" i="3"/>
  <c r="M1411" i="3"/>
  <c r="H1377" i="3"/>
  <c r="O1378" i="3" s="1"/>
  <c r="I1322" i="3"/>
  <c r="L1322" i="3" s="1"/>
  <c r="P1304" i="3"/>
  <c r="N1414" i="3" s="1"/>
  <c r="P1322" i="3" l="1"/>
  <c r="F1376" i="3"/>
  <c r="P749" i="3"/>
  <c r="O749" i="3"/>
  <c r="P773" i="3" s="1"/>
  <c r="O748" i="3"/>
  <c r="M747" i="3"/>
  <c r="P747" i="3" s="1"/>
  <c r="L751" i="3"/>
  <c r="N1376" i="3"/>
  <c r="N945" i="3"/>
  <c r="N946" i="3"/>
  <c r="H24" i="24"/>
  <c r="H23" i="24"/>
  <c r="H22" i="24"/>
  <c r="V30" i="24" s="1"/>
  <c r="AB19" i="23"/>
  <c r="AB16" i="23"/>
  <c r="AB14" i="23"/>
  <c r="AC12" i="23"/>
  <c r="AC11" i="23"/>
  <c r="AC8" i="23"/>
  <c r="AC6" i="23"/>
  <c r="I20" i="6"/>
  <c r="G1195" i="3"/>
  <c r="Q1215" i="3"/>
  <c r="Q1216" i="3" s="1"/>
  <c r="P1215" i="3"/>
  <c r="O1204" i="3"/>
  <c r="O1205" i="3" s="1"/>
  <c r="Q1204" i="3"/>
  <c r="Q1205" i="3" s="1"/>
  <c r="I694" i="3"/>
  <c r="T1100" i="3"/>
  <c r="T1101" i="3" s="1"/>
  <c r="L952" i="3"/>
  <c r="O939" i="3"/>
  <c r="L951" i="3"/>
  <c r="L950" i="3"/>
  <c r="O940" i="3"/>
  <c r="O941" i="3"/>
  <c r="F551" i="3"/>
  <c r="T21" i="13"/>
  <c r="T25" i="13"/>
  <c r="T24" i="13"/>
  <c r="T23" i="13"/>
  <c r="T22" i="13"/>
  <c r="T20" i="13"/>
  <c r="T19" i="13"/>
  <c r="T18" i="13"/>
  <c r="T17" i="13"/>
  <c r="T16" i="13"/>
  <c r="J25" i="13"/>
  <c r="J24" i="13"/>
  <c r="J23" i="13"/>
  <c r="J22" i="13"/>
  <c r="J21" i="13"/>
  <c r="J20" i="13"/>
  <c r="J19" i="13"/>
  <c r="J18" i="13"/>
  <c r="J17" i="13"/>
  <c r="J16" i="13"/>
  <c r="P1144" i="3"/>
  <c r="S1" i="24"/>
  <c r="B119" i="3"/>
  <c r="C119" i="3" s="1"/>
  <c r="AB21" i="23"/>
  <c r="X22" i="23"/>
  <c r="AB22" i="23" s="1"/>
  <c r="AC35" i="23" s="1"/>
  <c r="O15" i="23"/>
  <c r="Y30" i="24"/>
  <c r="AC30" i="24" s="1"/>
  <c r="Y31" i="24"/>
  <c r="AC31" i="24" s="1"/>
  <c r="Y32" i="24"/>
  <c r="AC32" i="24" s="1"/>
  <c r="Y36" i="24"/>
  <c r="Y39" i="24"/>
  <c r="Y40" i="24"/>
  <c r="Y41" i="24"/>
  <c r="Y45" i="24"/>
  <c r="I36" i="22"/>
  <c r="I40" i="22"/>
  <c r="I28" i="22"/>
  <c r="L40" i="22"/>
  <c r="L39" i="22"/>
  <c r="L37" i="22"/>
  <c r="L36" i="22"/>
  <c r="L35" i="22"/>
  <c r="L34" i="22"/>
  <c r="L33" i="22"/>
  <c r="L32" i="22"/>
  <c r="L31" i="22"/>
  <c r="L30" i="22"/>
  <c r="L28" i="22"/>
  <c r="L27" i="22"/>
  <c r="L26" i="22"/>
  <c r="L25" i="22"/>
  <c r="L24" i="22"/>
  <c r="L23" i="22"/>
  <c r="L22" i="22"/>
  <c r="L21" i="22"/>
  <c r="L20" i="22"/>
  <c r="L19" i="22"/>
  <c r="P12" i="22"/>
  <c r="P11" i="22"/>
  <c r="O6" i="22"/>
  <c r="O3" i="22"/>
  <c r="G12" i="22"/>
  <c r="G11" i="22"/>
  <c r="K15" i="22"/>
  <c r="K14" i="22"/>
  <c r="O15" i="22"/>
  <c r="O14" i="22"/>
  <c r="M15" i="22"/>
  <c r="M14" i="22"/>
  <c r="O26" i="22"/>
  <c r="M26" i="22"/>
  <c r="O24" i="22"/>
  <c r="M24" i="22"/>
  <c r="O22" i="22"/>
  <c r="M22" i="22"/>
  <c r="O20" i="22"/>
  <c r="O28" i="22" s="1"/>
  <c r="M20" i="22"/>
  <c r="F11" i="22"/>
  <c r="H12" i="22" s="1"/>
  <c r="M6" i="22"/>
  <c r="O30" i="22" s="1"/>
  <c r="O31" i="22" s="1"/>
  <c r="F12" i="22"/>
  <c r="O12" i="22"/>
  <c r="M32" i="22" s="1"/>
  <c r="N14" i="22"/>
  <c r="N15" i="22"/>
  <c r="M34" i="22" s="1"/>
  <c r="M35" i="22" s="1"/>
  <c r="M21" i="22"/>
  <c r="O21" i="22"/>
  <c r="I23" i="22"/>
  <c r="M23" i="22" s="1"/>
  <c r="I25" i="22"/>
  <c r="O25" i="22" s="1"/>
  <c r="O32" i="22"/>
  <c r="O33" i="22" s="1"/>
  <c r="D44" i="1"/>
  <c r="D43" i="1"/>
  <c r="D42" i="1"/>
  <c r="N1251" i="3"/>
  <c r="P1251" i="3" s="1"/>
  <c r="N1249" i="3"/>
  <c r="N1257" i="3"/>
  <c r="J1258" i="3"/>
  <c r="N1258" i="3" s="1"/>
  <c r="J1208" i="3"/>
  <c r="P1208" i="3" s="1"/>
  <c r="J1206" i="3"/>
  <c r="P1206" i="3" s="1"/>
  <c r="K1198" i="3"/>
  <c r="O1198" i="3" s="1"/>
  <c r="I1317" i="3"/>
  <c r="L1317" i="3" s="1"/>
  <c r="P1317" i="3" s="1"/>
  <c r="G1194" i="3"/>
  <c r="J18" i="21"/>
  <c r="E4" i="21"/>
  <c r="J4" i="21"/>
  <c r="L4" i="21"/>
  <c r="L5" i="21"/>
  <c r="K6" i="21"/>
  <c r="L6" i="21" s="1"/>
  <c r="E8" i="21"/>
  <c r="F8" i="21"/>
  <c r="E9" i="21"/>
  <c r="G9" i="21"/>
  <c r="E14" i="21"/>
  <c r="F14" i="21"/>
  <c r="F15" i="21" s="1"/>
  <c r="E15" i="21"/>
  <c r="E16" i="21"/>
  <c r="F16" i="21"/>
  <c r="F17" i="21" s="1"/>
  <c r="G16" i="21"/>
  <c r="H16" i="21"/>
  <c r="I16" i="21"/>
  <c r="J16" i="21"/>
  <c r="K16" i="21"/>
  <c r="L16" i="21"/>
  <c r="M16" i="21"/>
  <c r="N16" i="21"/>
  <c r="O16" i="21"/>
  <c r="P16" i="21"/>
  <c r="Q16" i="21"/>
  <c r="R16" i="21"/>
  <c r="S16" i="21"/>
  <c r="T16" i="21"/>
  <c r="U16" i="21"/>
  <c r="E17" i="21"/>
  <c r="G17" i="21"/>
  <c r="E18" i="21"/>
  <c r="F18" i="21"/>
  <c r="F19" i="21" s="1"/>
  <c r="N18" i="21"/>
  <c r="E19" i="21"/>
  <c r="G20" i="21"/>
  <c r="G21" i="21" s="1"/>
  <c r="F20" i="21"/>
  <c r="F21" i="21" s="1"/>
  <c r="E20" i="21"/>
  <c r="H20" i="21"/>
  <c r="I20" i="21"/>
  <c r="K20" i="21"/>
  <c r="L20" i="21"/>
  <c r="M20" i="21"/>
  <c r="O20" i="21"/>
  <c r="P20" i="21"/>
  <c r="Q20" i="21"/>
  <c r="S20" i="21"/>
  <c r="T20" i="21"/>
  <c r="U20" i="21"/>
  <c r="E21" i="21"/>
  <c r="E22" i="21"/>
  <c r="E23" i="21"/>
  <c r="E25" i="21"/>
  <c r="E26" i="21"/>
  <c r="E27" i="21"/>
  <c r="E28" i="21"/>
  <c r="E29" i="21"/>
  <c r="E30" i="21"/>
  <c r="E31" i="21"/>
  <c r="E32" i="21"/>
  <c r="E34" i="21"/>
  <c r="D35" i="21"/>
  <c r="E35" i="21"/>
  <c r="D38" i="21"/>
  <c r="R38" i="21"/>
  <c r="U38" i="21"/>
  <c r="E35" i="6"/>
  <c r="D35" i="6"/>
  <c r="E34" i="6"/>
  <c r="D35" i="20"/>
  <c r="E4" i="20"/>
  <c r="J4" i="20"/>
  <c r="L4" i="20"/>
  <c r="L5" i="20"/>
  <c r="K6" i="20"/>
  <c r="L6" i="20"/>
  <c r="L7" i="20" s="1"/>
  <c r="E8" i="20"/>
  <c r="F8" i="20"/>
  <c r="E9" i="20"/>
  <c r="G9" i="20"/>
  <c r="H9" i="20" s="1"/>
  <c r="H25" i="20" s="1"/>
  <c r="E14" i="20"/>
  <c r="E15" i="20"/>
  <c r="E16" i="20"/>
  <c r="F16" i="20"/>
  <c r="F17" i="20" s="1"/>
  <c r="G16" i="20"/>
  <c r="H16" i="20"/>
  <c r="I16" i="20"/>
  <c r="J16" i="20"/>
  <c r="K16" i="20"/>
  <c r="L16" i="20"/>
  <c r="M16" i="20"/>
  <c r="N16" i="20"/>
  <c r="O16" i="20"/>
  <c r="P16" i="20"/>
  <c r="Q16" i="20"/>
  <c r="R16" i="20"/>
  <c r="S16" i="20"/>
  <c r="T16" i="20"/>
  <c r="U16" i="20"/>
  <c r="E17" i="20"/>
  <c r="E18" i="20"/>
  <c r="E19" i="20"/>
  <c r="E20" i="20"/>
  <c r="E21" i="20"/>
  <c r="E22" i="20"/>
  <c r="E23" i="20"/>
  <c r="E25" i="20"/>
  <c r="F25" i="20"/>
  <c r="E26" i="20"/>
  <c r="F26" i="20"/>
  <c r="E27" i="20"/>
  <c r="E28" i="20"/>
  <c r="E29" i="20"/>
  <c r="E30" i="20"/>
  <c r="E31" i="20"/>
  <c r="E32" i="20"/>
  <c r="E34" i="20"/>
  <c r="E35" i="20"/>
  <c r="D38" i="20"/>
  <c r="R38" i="20"/>
  <c r="U38" i="20"/>
  <c r="K6" i="6"/>
  <c r="L6" i="6" s="1"/>
  <c r="R38" i="6"/>
  <c r="U38" i="6"/>
  <c r="D38" i="6"/>
  <c r="S16" i="6"/>
  <c r="O16" i="6"/>
  <c r="N16" i="6"/>
  <c r="K16" i="6"/>
  <c r="G16" i="6"/>
  <c r="G17" i="6" s="1"/>
  <c r="F16" i="6"/>
  <c r="F17" i="6" s="1"/>
  <c r="G9" i="6"/>
  <c r="H9" i="6"/>
  <c r="F8" i="6"/>
  <c r="F10" i="6" s="1"/>
  <c r="F11" i="6" s="1"/>
  <c r="F27" i="6" s="1"/>
  <c r="F28" i="6" s="1"/>
  <c r="E9" i="6"/>
  <c r="L4" i="6"/>
  <c r="J4" i="6"/>
  <c r="E8" i="6"/>
  <c r="E32" i="6"/>
  <c r="E31" i="6"/>
  <c r="E30" i="6"/>
  <c r="E29" i="6"/>
  <c r="E28" i="6"/>
  <c r="E27" i="6"/>
  <c r="E26" i="6"/>
  <c r="E25" i="6"/>
  <c r="E23" i="6"/>
  <c r="E22" i="6"/>
  <c r="E21" i="6"/>
  <c r="E20" i="6"/>
  <c r="E19" i="6"/>
  <c r="E18" i="6"/>
  <c r="E17" i="6"/>
  <c r="E16" i="6"/>
  <c r="E15" i="6"/>
  <c r="E14" i="6"/>
  <c r="E4" i="6"/>
  <c r="G23" i="1"/>
  <c r="F23" i="1"/>
  <c r="G21" i="1"/>
  <c r="G20" i="1"/>
  <c r="G19" i="1"/>
  <c r="G18" i="1"/>
  <c r="G17" i="1"/>
  <c r="F21" i="1"/>
  <c r="F20" i="1"/>
  <c r="F19" i="1"/>
  <c r="F18" i="1"/>
  <c r="F17" i="1"/>
  <c r="F37" i="1"/>
  <c r="E37" i="1"/>
  <c r="F36" i="1"/>
  <c r="E36" i="1"/>
  <c r="F35" i="1"/>
  <c r="E35" i="1"/>
  <c r="F34" i="1"/>
  <c r="E34" i="1"/>
  <c r="F16" i="1"/>
  <c r="E16" i="1"/>
  <c r="F15" i="1"/>
  <c r="E15" i="1"/>
  <c r="E14" i="1"/>
  <c r="D14" i="1"/>
  <c r="F9" i="1"/>
  <c r="E9" i="1"/>
  <c r="C23" i="3"/>
  <c r="H1104" i="3"/>
  <c r="K1104" i="3" s="1"/>
  <c r="H1110" i="3"/>
  <c r="F1110" i="3"/>
  <c r="F1108" i="3"/>
  <c r="H1108" i="3"/>
  <c r="L5" i="6"/>
  <c r="L7" i="6" s="1"/>
  <c r="J920" i="3"/>
  <c r="M1652" i="3"/>
  <c r="M1643" i="3"/>
  <c r="M1648" i="3"/>
  <c r="M1647" i="3"/>
  <c r="M1646" i="3"/>
  <c r="M1639" i="3"/>
  <c r="Q1639" i="3" s="1"/>
  <c r="M1638" i="3"/>
  <c r="Q1638" i="3" s="1"/>
  <c r="M1637" i="3"/>
  <c r="Q1637" i="3" s="1"/>
  <c r="J1631" i="3"/>
  <c r="J1648" i="3" s="1"/>
  <c r="J1630" i="3"/>
  <c r="J1629" i="3"/>
  <c r="J1637" i="3" s="1"/>
  <c r="AD50" i="18"/>
  <c r="X48" i="18"/>
  <c r="U50" i="18"/>
  <c r="X42" i="18"/>
  <c r="AC42" i="18" s="1"/>
  <c r="W50" i="18" s="1"/>
  <c r="Z42" i="18"/>
  <c r="Z50" i="18"/>
  <c r="AB50" i="18"/>
  <c r="AC33" i="18"/>
  <c r="M1378" i="3"/>
  <c r="I1377" i="3"/>
  <c r="Z18" i="18"/>
  <c r="Y20" i="18"/>
  <c r="AA20" i="18"/>
  <c r="X32" i="18"/>
  <c r="U34" i="18"/>
  <c r="W34" i="18"/>
  <c r="Y34" i="18"/>
  <c r="L805" i="3"/>
  <c r="L808" i="3"/>
  <c r="L810" i="3"/>
  <c r="P667" i="3"/>
  <c r="H646" i="3"/>
  <c r="O667" i="3" s="1"/>
  <c r="P666" i="3"/>
  <c r="S688" i="3"/>
  <c r="S689" i="3"/>
  <c r="J668" i="3"/>
  <c r="J667" i="3"/>
  <c r="I641" i="3"/>
  <c r="I645" i="3" s="1"/>
  <c r="I644" i="3" s="1"/>
  <c r="I643" i="3"/>
  <c r="I642" i="3" s="1"/>
  <c r="J643" i="3" s="1"/>
  <c r="G10" i="15"/>
  <c r="B11" i="15"/>
  <c r="D11" i="15" s="1"/>
  <c r="I12" i="15"/>
  <c r="I13" i="15" s="1"/>
  <c r="I14" i="15" s="1"/>
  <c r="I15" i="15" s="1"/>
  <c r="I16" i="15" s="1"/>
  <c r="I17" i="15" s="1"/>
  <c r="I18" i="15" s="1"/>
  <c r="I19" i="15" s="1"/>
  <c r="I20" i="15" s="1"/>
  <c r="I21" i="15" s="1"/>
  <c r="I22" i="15" s="1"/>
  <c r="I23" i="15" s="1"/>
  <c r="I24" i="15" s="1"/>
  <c r="I25" i="15" s="1"/>
  <c r="I26" i="15" s="1"/>
  <c r="I27" i="15" s="1"/>
  <c r="I28" i="15" s="1"/>
  <c r="I29" i="15" s="1"/>
  <c r="I30" i="15" s="1"/>
  <c r="I31" i="15" s="1"/>
  <c r="I32" i="15" s="1"/>
  <c r="I33" i="15" s="1"/>
  <c r="I34" i="15" s="1"/>
  <c r="I35" i="15" s="1"/>
  <c r="I36" i="15" s="1"/>
  <c r="I37" i="15" s="1"/>
  <c r="I38" i="15" s="1"/>
  <c r="I39" i="15" s="1"/>
  <c r="I40" i="15" s="1"/>
  <c r="I41" i="15" s="1"/>
  <c r="I42" i="15" s="1"/>
  <c r="I43" i="15" s="1"/>
  <c r="I44" i="15" s="1"/>
  <c r="I45" i="15" s="1"/>
  <c r="I46" i="15" s="1"/>
  <c r="I47" i="15" s="1"/>
  <c r="I48" i="15" s="1"/>
  <c r="I49" i="15" s="1"/>
  <c r="I50" i="15" s="1"/>
  <c r="I51" i="15" s="1"/>
  <c r="I52" i="15" s="1"/>
  <c r="I53" i="15" s="1"/>
  <c r="I54" i="15" s="1"/>
  <c r="I55" i="15" s="1"/>
  <c r="I56" i="15" s="1"/>
  <c r="I57" i="15" s="1"/>
  <c r="I58" i="15" s="1"/>
  <c r="I59" i="15" s="1"/>
  <c r="I60" i="15" s="1"/>
  <c r="W522" i="3"/>
  <c r="X522" i="3" s="1"/>
  <c r="W521" i="3"/>
  <c r="X520" i="3"/>
  <c r="W527" i="3"/>
  <c r="X527" i="3" s="1"/>
  <c r="W526" i="3"/>
  <c r="X525" i="3"/>
  <c r="P560" i="3"/>
  <c r="O560" i="3"/>
  <c r="N560" i="3"/>
  <c r="M560" i="3"/>
  <c r="L560" i="3"/>
  <c r="K560" i="3"/>
  <c r="J560" i="3"/>
  <c r="I560" i="3"/>
  <c r="H560" i="3"/>
  <c r="G560" i="3"/>
  <c r="F560" i="3"/>
  <c r="P559" i="3"/>
  <c r="O559" i="3"/>
  <c r="N559" i="3"/>
  <c r="M559" i="3"/>
  <c r="L559" i="3"/>
  <c r="K559" i="3"/>
  <c r="J559" i="3"/>
  <c r="I559" i="3"/>
  <c r="H559" i="3"/>
  <c r="G559" i="3"/>
  <c r="F559" i="3"/>
  <c r="P558" i="3"/>
  <c r="O558" i="3"/>
  <c r="N558" i="3"/>
  <c r="M558" i="3"/>
  <c r="L558" i="3"/>
  <c r="K558" i="3"/>
  <c r="J558" i="3"/>
  <c r="I558" i="3"/>
  <c r="H558" i="3"/>
  <c r="G558" i="3"/>
  <c r="F558" i="3"/>
  <c r="P557" i="3"/>
  <c r="O557" i="3"/>
  <c r="N557" i="3"/>
  <c r="M557" i="3"/>
  <c r="L557" i="3"/>
  <c r="K557" i="3"/>
  <c r="J557" i="3"/>
  <c r="I557" i="3"/>
  <c r="H557" i="3"/>
  <c r="G557" i="3"/>
  <c r="F557" i="3"/>
  <c r="P556" i="3"/>
  <c r="O556" i="3"/>
  <c r="N556" i="3"/>
  <c r="M556" i="3"/>
  <c r="L556" i="3"/>
  <c r="K556" i="3"/>
  <c r="J556" i="3"/>
  <c r="I556" i="3"/>
  <c r="H556" i="3"/>
  <c r="G556" i="3"/>
  <c r="F556" i="3"/>
  <c r="P555" i="3"/>
  <c r="O555" i="3"/>
  <c r="N555" i="3"/>
  <c r="M555" i="3"/>
  <c r="L555" i="3"/>
  <c r="K555" i="3"/>
  <c r="J555" i="3"/>
  <c r="I555" i="3"/>
  <c r="H555" i="3"/>
  <c r="G555" i="3"/>
  <c r="F555" i="3"/>
  <c r="P554" i="3"/>
  <c r="O554" i="3"/>
  <c r="N554" i="3"/>
  <c r="M554" i="3"/>
  <c r="L554" i="3"/>
  <c r="K554" i="3"/>
  <c r="J554" i="3"/>
  <c r="I554" i="3"/>
  <c r="H554" i="3"/>
  <c r="G554" i="3"/>
  <c r="F554" i="3"/>
  <c r="P553" i="3"/>
  <c r="O553" i="3"/>
  <c r="N553" i="3"/>
  <c r="M553" i="3"/>
  <c r="L553" i="3"/>
  <c r="K553" i="3"/>
  <c r="J553" i="3"/>
  <c r="I553" i="3"/>
  <c r="H553" i="3"/>
  <c r="G553" i="3"/>
  <c r="F553" i="3"/>
  <c r="P552" i="3"/>
  <c r="O552" i="3"/>
  <c r="N552" i="3"/>
  <c r="M552" i="3"/>
  <c r="L552" i="3"/>
  <c r="K552" i="3"/>
  <c r="J552" i="3"/>
  <c r="I552" i="3"/>
  <c r="H552" i="3"/>
  <c r="G552" i="3"/>
  <c r="F552" i="3"/>
  <c r="P551" i="3"/>
  <c r="O551" i="3"/>
  <c r="N551" i="3"/>
  <c r="M551" i="3"/>
  <c r="L551" i="3"/>
  <c r="K551" i="3"/>
  <c r="J551" i="3"/>
  <c r="I551" i="3"/>
  <c r="H551" i="3"/>
  <c r="G551" i="3"/>
  <c r="B11" i="13"/>
  <c r="D11" i="13" s="1"/>
  <c r="C10" i="13"/>
  <c r="E11" i="13" s="1"/>
  <c r="B12" i="13"/>
  <c r="D12" i="13" s="1"/>
  <c r="G11" i="13"/>
  <c r="L367" i="3"/>
  <c r="J367" i="3"/>
  <c r="J368" i="3" s="1"/>
  <c r="J369" i="3" s="1"/>
  <c r="J370" i="3" s="1"/>
  <c r="J371" i="3" s="1"/>
  <c r="H368" i="3" s="1"/>
  <c r="K369" i="3"/>
  <c r="K370" i="3" s="1"/>
  <c r="W388" i="3"/>
  <c r="X389" i="3" s="1"/>
  <c r="W389" i="3"/>
  <c r="W390" i="3"/>
  <c r="W391" i="3"/>
  <c r="W392" i="3"/>
  <c r="K323" i="3"/>
  <c r="K324" i="3" s="1"/>
  <c r="K325" i="3" s="1"/>
  <c r="K326" i="3" s="1"/>
  <c r="J261" i="3"/>
  <c r="J262" i="3" s="1"/>
  <c r="J263" i="3" s="1"/>
  <c r="J264" i="3" s="1"/>
  <c r="T261" i="3" s="1"/>
  <c r="L260" i="3"/>
  <c r="K260" i="3" s="1"/>
  <c r="P261" i="3" s="1"/>
  <c r="I211" i="3"/>
  <c r="I212" i="3" s="1"/>
  <c r="N209" i="3"/>
  <c r="M141" i="3"/>
  <c r="L141" i="3" s="1"/>
  <c r="M142" i="3"/>
  <c r="N142" i="3" s="1"/>
  <c r="M143" i="3"/>
  <c r="M144" i="3"/>
  <c r="M145" i="3"/>
  <c r="I143" i="3"/>
  <c r="P260" i="3"/>
  <c r="O260" i="3"/>
  <c r="F14" i="6"/>
  <c r="F15" i="6" s="1"/>
  <c r="G14" i="6"/>
  <c r="F25" i="6"/>
  <c r="F26" i="6"/>
  <c r="K142" i="3"/>
  <c r="K143" i="3" s="1"/>
  <c r="K144" i="3" s="1"/>
  <c r="K145" i="3" s="1"/>
  <c r="M194" i="3"/>
  <c r="P194" i="3" s="1"/>
  <c r="N198" i="3" s="1"/>
  <c r="L201" i="3"/>
  <c r="V290" i="3"/>
  <c r="L314" i="3"/>
  <c r="M317" i="3"/>
  <c r="I324" i="3"/>
  <c r="T388" i="3"/>
  <c r="T389" i="3"/>
  <c r="U389" i="3"/>
  <c r="U390" i="3" s="1"/>
  <c r="U391" i="3" s="1"/>
  <c r="U392" i="3" s="1"/>
  <c r="T390" i="3"/>
  <c r="T391" i="3"/>
  <c r="T392" i="3"/>
  <c r="S393" i="3"/>
  <c r="N1162" i="3"/>
  <c r="P1204" i="3"/>
  <c r="D8" i="1"/>
  <c r="E8" i="1"/>
  <c r="E10" i="1"/>
  <c r="F10" i="1"/>
  <c r="E11" i="1"/>
  <c r="F11" i="1"/>
  <c r="E12" i="1"/>
  <c r="F12" i="1"/>
  <c r="E22" i="1"/>
  <c r="F22" i="1"/>
  <c r="F24" i="1"/>
  <c r="G24" i="1"/>
  <c r="F25" i="1"/>
  <c r="G25" i="1"/>
  <c r="F26" i="1"/>
  <c r="G26" i="1"/>
  <c r="E27" i="1"/>
  <c r="F27" i="1"/>
  <c r="E28" i="1"/>
  <c r="F28" i="1"/>
  <c r="F29" i="1"/>
  <c r="G29" i="1"/>
  <c r="F30" i="1"/>
  <c r="G30" i="1"/>
  <c r="F31" i="1"/>
  <c r="G31" i="1"/>
  <c r="D33" i="1"/>
  <c r="E33" i="1"/>
  <c r="B12" i="15"/>
  <c r="C11" i="15"/>
  <c r="M20" i="6"/>
  <c r="L20" i="6"/>
  <c r="J20" i="6"/>
  <c r="J16" i="6"/>
  <c r="R16" i="6"/>
  <c r="Q18" i="6"/>
  <c r="U16" i="6"/>
  <c r="Q16" i="6"/>
  <c r="M16" i="6"/>
  <c r="I16" i="6"/>
  <c r="T16" i="6"/>
  <c r="P16" i="6"/>
  <c r="L16" i="6"/>
  <c r="H16" i="6"/>
  <c r="H17" i="6" s="1"/>
  <c r="F10" i="20"/>
  <c r="F11" i="20" s="1"/>
  <c r="F27" i="20" s="1"/>
  <c r="F14" i="20"/>
  <c r="F15" i="20" s="1"/>
  <c r="G18" i="21"/>
  <c r="G19" i="21" s="1"/>
  <c r="K18" i="21"/>
  <c r="O18" i="21"/>
  <c r="S18" i="21"/>
  <c r="H18" i="21"/>
  <c r="H19" i="21" s="1"/>
  <c r="L18" i="21"/>
  <c r="P18" i="21"/>
  <c r="T18" i="21"/>
  <c r="I18" i="21"/>
  <c r="I19" i="21" s="1"/>
  <c r="M18" i="21"/>
  <c r="Q18" i="21"/>
  <c r="U18" i="21"/>
  <c r="O34" i="22"/>
  <c r="R18" i="21"/>
  <c r="H9" i="21"/>
  <c r="H17" i="21" s="1"/>
  <c r="O23" i="22"/>
  <c r="R20" i="21"/>
  <c r="N20" i="21"/>
  <c r="J20" i="21"/>
  <c r="I9" i="21"/>
  <c r="I10" i="21" s="1"/>
  <c r="I11" i="21" s="1"/>
  <c r="I27" i="21" s="1"/>
  <c r="I28" i="21" s="1"/>
  <c r="M18" i="6"/>
  <c r="L18" i="6"/>
  <c r="H18" i="6"/>
  <c r="H19" i="6" s="1"/>
  <c r="J18" i="6"/>
  <c r="I26" i="21"/>
  <c r="M18" i="20"/>
  <c r="J18" i="20"/>
  <c r="G18" i="20"/>
  <c r="G19" i="20" s="1"/>
  <c r="L18" i="20"/>
  <c r="G10" i="6"/>
  <c r="G11" i="6"/>
  <c r="G27" i="6" s="1"/>
  <c r="G28" i="6" s="1"/>
  <c r="H14" i="6"/>
  <c r="H15" i="6" s="1"/>
  <c r="H25" i="6"/>
  <c r="H26" i="6"/>
  <c r="H10" i="6"/>
  <c r="H11" i="6"/>
  <c r="H27" i="6" s="1"/>
  <c r="H28" i="6" s="1"/>
  <c r="I9" i="6"/>
  <c r="G25" i="21"/>
  <c r="L7" i="21"/>
  <c r="H29" i="21" s="1"/>
  <c r="H30" i="21" s="1"/>
  <c r="G10" i="21"/>
  <c r="G11" i="21"/>
  <c r="G27" i="21" s="1"/>
  <c r="G28" i="21" s="1"/>
  <c r="F10" i="21"/>
  <c r="F11" i="21" s="1"/>
  <c r="F27" i="21" s="1"/>
  <c r="F28" i="21" s="1"/>
  <c r="F20" i="20"/>
  <c r="F21" i="20"/>
  <c r="K20" i="20"/>
  <c r="F29" i="21"/>
  <c r="F30" i="21" s="1"/>
  <c r="U52" i="18" l="1"/>
  <c r="H29" i="20"/>
  <c r="S29" i="20"/>
  <c r="R29" i="20"/>
  <c r="O29" i="20"/>
  <c r="K29" i="20"/>
  <c r="I29" i="20"/>
  <c r="T29" i="20"/>
  <c r="N29" i="20"/>
  <c r="J29" i="20"/>
  <c r="U29" i="20"/>
  <c r="G29" i="20"/>
  <c r="G30" i="20" s="1"/>
  <c r="F29" i="20"/>
  <c r="F30" i="20" s="1"/>
  <c r="L29" i="20"/>
  <c r="P29" i="20"/>
  <c r="Q29" i="20"/>
  <c r="M29" i="20"/>
  <c r="M30" i="22"/>
  <c r="M31" i="22" s="1"/>
  <c r="M29" i="21"/>
  <c r="U29" i="21"/>
  <c r="I25" i="21"/>
  <c r="B13" i="13"/>
  <c r="AC19" i="18"/>
  <c r="F23" i="21"/>
  <c r="M25" i="22"/>
  <c r="J9" i="21"/>
  <c r="I21" i="6"/>
  <c r="AA30" i="24"/>
  <c r="AE30" i="24" s="1"/>
  <c r="Q29" i="21"/>
  <c r="S29" i="21"/>
  <c r="I29" i="21"/>
  <c r="I30" i="21" s="1"/>
  <c r="I32" i="21" s="1"/>
  <c r="O27" i="22"/>
  <c r="H21" i="21"/>
  <c r="P29" i="21"/>
  <c r="G29" i="21"/>
  <c r="H14" i="21"/>
  <c r="H15" i="21" s="1"/>
  <c r="H23" i="21" s="1"/>
  <c r="J29" i="21"/>
  <c r="J30" i="21" s="1"/>
  <c r="T29" i="21"/>
  <c r="K29" i="21"/>
  <c r="R29" i="21"/>
  <c r="N29" i="21"/>
  <c r="H10" i="21"/>
  <c r="H11" i="21" s="1"/>
  <c r="H27" i="21" s="1"/>
  <c r="H28" i="21" s="1"/>
  <c r="C12" i="15"/>
  <c r="H18" i="29"/>
  <c r="L18" i="29" s="1"/>
  <c r="N1240" i="3"/>
  <c r="O1263" i="3" s="1"/>
  <c r="P772" i="3"/>
  <c r="M751" i="3"/>
  <c r="O751" i="3" s="1"/>
  <c r="L780" i="3"/>
  <c r="P780" i="3" s="1"/>
  <c r="N789" i="3" s="1"/>
  <c r="Q788" i="3" s="1"/>
  <c r="O747" i="3"/>
  <c r="Q747" i="3"/>
  <c r="Q749" i="3"/>
  <c r="O666" i="3"/>
  <c r="F22" i="21"/>
  <c r="I29" i="6"/>
  <c r="Q29" i="6"/>
  <c r="U29" i="6"/>
  <c r="S29" i="6"/>
  <c r="O29" i="6"/>
  <c r="T29" i="6"/>
  <c r="F29" i="6"/>
  <c r="F30" i="6" s="1"/>
  <c r="F32" i="6" s="1"/>
  <c r="P29" i="6"/>
  <c r="R29" i="6"/>
  <c r="M29" i="6"/>
  <c r="L29" i="6"/>
  <c r="J29" i="6"/>
  <c r="N29" i="6"/>
  <c r="G29" i="6"/>
  <c r="G30" i="6" s="1"/>
  <c r="K29" i="6"/>
  <c r="H29" i="6"/>
  <c r="R20" i="6"/>
  <c r="G20" i="6"/>
  <c r="G21" i="6" s="1"/>
  <c r="K20" i="6"/>
  <c r="N20" i="6"/>
  <c r="T20" i="6"/>
  <c r="U20" i="6"/>
  <c r="F20" i="6"/>
  <c r="F21" i="6" s="1"/>
  <c r="P20" i="6"/>
  <c r="Q20" i="6"/>
  <c r="O20" i="6"/>
  <c r="S20" i="6"/>
  <c r="H20" i="6"/>
  <c r="J1646" i="3"/>
  <c r="O1646" i="3" s="1"/>
  <c r="F11" i="13"/>
  <c r="C11" i="13" s="1"/>
  <c r="R938" i="3"/>
  <c r="P939" i="3" s="1"/>
  <c r="M33" i="22"/>
  <c r="M36" i="22"/>
  <c r="F28" i="20"/>
  <c r="F32" i="20" s="1"/>
  <c r="F31" i="20"/>
  <c r="H14" i="20"/>
  <c r="I9" i="20"/>
  <c r="H30" i="20"/>
  <c r="H10" i="20"/>
  <c r="H11" i="20" s="1"/>
  <c r="H27" i="20" s="1"/>
  <c r="H26" i="20"/>
  <c r="L20" i="20"/>
  <c r="T20" i="20"/>
  <c r="M20" i="20"/>
  <c r="G20" i="20"/>
  <c r="G21" i="20" s="1"/>
  <c r="N20" i="20"/>
  <c r="H20" i="20"/>
  <c r="H21" i="20" s="1"/>
  <c r="O20" i="20"/>
  <c r="P20" i="20"/>
  <c r="Q20" i="20"/>
  <c r="U20" i="20"/>
  <c r="R20" i="20"/>
  <c r="S20" i="20"/>
  <c r="M37" i="22"/>
  <c r="M27" i="22"/>
  <c r="I31" i="21"/>
  <c r="J20" i="20"/>
  <c r="I10" i="6"/>
  <c r="I11" i="6" s="1"/>
  <c r="I27" i="6" s="1"/>
  <c r="I14" i="6"/>
  <c r="I17" i="6"/>
  <c r="I26" i="6"/>
  <c r="I30" i="6"/>
  <c r="J9" i="6"/>
  <c r="I25" i="6"/>
  <c r="I20" i="20"/>
  <c r="N18" i="20"/>
  <c r="O18" i="20"/>
  <c r="P18" i="20"/>
  <c r="I18" i="20"/>
  <c r="U18" i="20"/>
  <c r="R18" i="20"/>
  <c r="S18" i="20"/>
  <c r="T18" i="20"/>
  <c r="H18" i="20"/>
  <c r="H19" i="20" s="1"/>
  <c r="F18" i="20"/>
  <c r="K18" i="20"/>
  <c r="Q18" i="20"/>
  <c r="D12" i="15"/>
  <c r="B13" i="15"/>
  <c r="O29" i="21"/>
  <c r="L29" i="21"/>
  <c r="K18" i="6"/>
  <c r="G15" i="6"/>
  <c r="H17" i="20"/>
  <c r="G25" i="20"/>
  <c r="G10" i="20"/>
  <c r="G11" i="20" s="1"/>
  <c r="G27" i="20" s="1"/>
  <c r="G26" i="20"/>
  <c r="G14" i="20"/>
  <c r="K17" i="21"/>
  <c r="O35" i="22"/>
  <c r="O37" i="22" s="1"/>
  <c r="O39" i="22" s="1"/>
  <c r="O36" i="22"/>
  <c r="O40" i="22" s="1"/>
  <c r="U18" i="6"/>
  <c r="T18" i="6"/>
  <c r="N18" i="6"/>
  <c r="R18" i="6"/>
  <c r="I18" i="6"/>
  <c r="I19" i="6" s="1"/>
  <c r="F18" i="6"/>
  <c r="O18" i="6"/>
  <c r="P18" i="6"/>
  <c r="S18" i="6"/>
  <c r="G18" i="6"/>
  <c r="G19" i="6" s="1"/>
  <c r="G25" i="6"/>
  <c r="G26" i="6"/>
  <c r="F25" i="21"/>
  <c r="F31" i="21" s="1"/>
  <c r="F35" i="21" s="1"/>
  <c r="F26" i="21"/>
  <c r="F32" i="21" s="1"/>
  <c r="F34" i="21" s="1"/>
  <c r="H26" i="21"/>
  <c r="H32" i="21" s="1"/>
  <c r="G26" i="21"/>
  <c r="G14" i="21"/>
  <c r="H25" i="21"/>
  <c r="H31" i="21" s="1"/>
  <c r="J10" i="21"/>
  <c r="J11" i="21" s="1"/>
  <c r="J27" i="21" s="1"/>
  <c r="J14" i="21"/>
  <c r="J26" i="21"/>
  <c r="I14" i="21"/>
  <c r="G17" i="20"/>
  <c r="K9" i="21"/>
  <c r="I21" i="21"/>
  <c r="I17" i="21"/>
  <c r="M28" i="22"/>
  <c r="M185" i="3"/>
  <c r="M190" i="3" s="1"/>
  <c r="P190" i="3" s="1"/>
  <c r="L198" i="3" s="1"/>
  <c r="P198" i="3" s="1"/>
  <c r="N201" i="3" s="1"/>
  <c r="P201" i="3" s="1"/>
  <c r="AB15" i="23"/>
  <c r="AD15" i="23" s="1"/>
  <c r="J1639" i="3"/>
  <c r="O1639" i="3" s="1"/>
  <c r="J641" i="3"/>
  <c r="J645" i="3" s="1"/>
  <c r="J644" i="3" s="1"/>
  <c r="I696" i="3"/>
  <c r="I695" i="3" s="1"/>
  <c r="K696" i="3"/>
  <c r="O1206" i="3"/>
  <c r="O1207" i="3" s="1"/>
  <c r="Q1208" i="3"/>
  <c r="Q1209" i="3" s="1"/>
  <c r="O1208" i="3"/>
  <c r="O1209" i="3" s="1"/>
  <c r="O1268" i="3"/>
  <c r="J719" i="3"/>
  <c r="O718" i="3"/>
  <c r="O1648" i="3"/>
  <c r="K1110" i="3"/>
  <c r="O1629" i="3"/>
  <c r="K371" i="3"/>
  <c r="N371" i="3" s="1"/>
  <c r="N370" i="3"/>
  <c r="X390" i="3"/>
  <c r="X391" i="3" s="1"/>
  <c r="X392" i="3" s="1"/>
  <c r="I646" i="3"/>
  <c r="O1631" i="3"/>
  <c r="Q1213" i="3"/>
  <c r="Q1214" i="3" s="1"/>
  <c r="P1217" i="3"/>
  <c r="P1218" i="3" s="1"/>
  <c r="O261" i="3"/>
  <c r="Q1202" i="3"/>
  <c r="Q1203" i="3" s="1"/>
  <c r="V388" i="3"/>
  <c r="V389" i="3" s="1"/>
  <c r="V390" i="3" s="1"/>
  <c r="V391" i="3" s="1"/>
  <c r="V392" i="3" s="1"/>
  <c r="N666" i="3"/>
  <c r="L261" i="3"/>
  <c r="K261" i="3" s="1"/>
  <c r="H697" i="3"/>
  <c r="O1213" i="3"/>
  <c r="O1214" i="3" s="1"/>
  <c r="Q1217" i="3"/>
  <c r="Q1218" i="3" s="1"/>
  <c r="B162" i="3"/>
  <c r="B238" i="3" s="1"/>
  <c r="O1202" i="3"/>
  <c r="O1203" i="3" s="1"/>
  <c r="Q1206" i="3"/>
  <c r="Q1207" i="3" s="1"/>
  <c r="N143" i="3"/>
  <c r="N144" i="3" s="1"/>
  <c r="N145" i="3" s="1"/>
  <c r="P1377" i="3"/>
  <c r="G1382" i="3" s="1"/>
  <c r="K1108" i="3"/>
  <c r="I1195" i="3"/>
  <c r="P1202" i="3"/>
  <c r="P1203" i="3" s="1"/>
  <c r="P1213" i="3"/>
  <c r="P1216" i="3"/>
  <c r="P1205" i="3"/>
  <c r="N1253" i="3"/>
  <c r="P1253" i="3" s="1"/>
  <c r="N1241" i="3" s="1"/>
  <c r="AC5" i="23" s="1"/>
  <c r="P1209" i="3"/>
  <c r="N1243" i="3"/>
  <c r="AC7" i="23" s="1"/>
  <c r="O1637" i="3"/>
  <c r="M367" i="3"/>
  <c r="L368" i="3"/>
  <c r="L142" i="3"/>
  <c r="L143" i="3" s="1"/>
  <c r="L144" i="3" s="1"/>
  <c r="L145" i="3" s="1"/>
  <c r="J1647" i="3"/>
  <c r="O1647" i="3" s="1"/>
  <c r="O1630" i="3"/>
  <c r="J1632" i="3"/>
  <c r="H1658" i="3" s="1"/>
  <c r="J1638" i="3"/>
  <c r="O1638" i="3" s="1"/>
  <c r="P1207" i="3"/>
  <c r="N368" i="3"/>
  <c r="N369" i="3"/>
  <c r="J720" i="3"/>
  <c r="Q666" i="3"/>
  <c r="Q718" i="3"/>
  <c r="M261" i="3"/>
  <c r="J642" i="3"/>
  <c r="H812" i="3"/>
  <c r="J812" i="3" s="1"/>
  <c r="L812" i="3" s="1"/>
  <c r="L1318" i="3"/>
  <c r="P1318" i="3" s="1"/>
  <c r="O1217" i="3"/>
  <c r="I693" i="3"/>
  <c r="O209" i="3"/>
  <c r="I323" i="3"/>
  <c r="AC13" i="23"/>
  <c r="M22" i="24"/>
  <c r="V32" i="24"/>
  <c r="AA32" i="24" s="1"/>
  <c r="AE32" i="24" s="1"/>
  <c r="M24" i="24"/>
  <c r="H25" i="24"/>
  <c r="V31" i="24"/>
  <c r="M23" i="24"/>
  <c r="V40" i="24"/>
  <c r="AA40" i="24" s="1"/>
  <c r="AE40" i="24" s="1"/>
  <c r="V41" i="24"/>
  <c r="AA41" i="24" s="1"/>
  <c r="AE41" i="24" s="1"/>
  <c r="V39" i="24"/>
  <c r="G31" i="21" l="1"/>
  <c r="G30" i="21"/>
  <c r="H22" i="21"/>
  <c r="J17" i="21"/>
  <c r="J25" i="21"/>
  <c r="H35" i="21"/>
  <c r="G12" i="13"/>
  <c r="H1256" i="3"/>
  <c r="J19" i="21"/>
  <c r="AC4" i="23"/>
  <c r="AC30" i="23" s="1"/>
  <c r="D13" i="13"/>
  <c r="B14" i="13"/>
  <c r="G32" i="21"/>
  <c r="J21" i="21"/>
  <c r="H34" i="21"/>
  <c r="I19" i="20"/>
  <c r="I21" i="20"/>
  <c r="N1195" i="3"/>
  <c r="P1195" i="3" s="1"/>
  <c r="O1215" i="3" s="1"/>
  <c r="M25" i="24"/>
  <c r="Y49" i="24"/>
  <c r="M39" i="22"/>
  <c r="Q1256" i="3"/>
  <c r="P751" i="3"/>
  <c r="Q751" i="3" s="1"/>
  <c r="N772" i="3"/>
  <c r="N773" i="3"/>
  <c r="Q940" i="3"/>
  <c r="AC29" i="23"/>
  <c r="Q939" i="3"/>
  <c r="O750" i="3"/>
  <c r="P940" i="3"/>
  <c r="N952" i="3" s="1"/>
  <c r="P952" i="3" s="1"/>
  <c r="Q941" i="3"/>
  <c r="O1262" i="3"/>
  <c r="G32" i="6"/>
  <c r="J30" i="6"/>
  <c r="G31" i="6"/>
  <c r="F31" i="6"/>
  <c r="H31" i="6"/>
  <c r="H30" i="6"/>
  <c r="H32" i="6" s="1"/>
  <c r="H21" i="6"/>
  <c r="H23" i="6" s="1"/>
  <c r="H22" i="6"/>
  <c r="P941" i="3"/>
  <c r="I22" i="21"/>
  <c r="I34" i="21" s="1"/>
  <c r="I15" i="21"/>
  <c r="I23" i="21" s="1"/>
  <c r="F22" i="6"/>
  <c r="F34" i="6" s="1"/>
  <c r="F19" i="6"/>
  <c r="F23" i="6" s="1"/>
  <c r="I10" i="20"/>
  <c r="I11" i="20" s="1"/>
  <c r="I27" i="20" s="1"/>
  <c r="I17" i="20"/>
  <c r="I14" i="20"/>
  <c r="I25" i="20"/>
  <c r="I26" i="20"/>
  <c r="J9" i="20"/>
  <c r="G28" i="20"/>
  <c r="G32" i="20" s="1"/>
  <c r="G31" i="20"/>
  <c r="D13" i="15"/>
  <c r="B14" i="15"/>
  <c r="I35" i="21"/>
  <c r="G15" i="21"/>
  <c r="G23" i="21" s="1"/>
  <c r="G35" i="21" s="1"/>
  <c r="G22" i="21"/>
  <c r="G15" i="20"/>
  <c r="G23" i="20" s="1"/>
  <c r="G22" i="20"/>
  <c r="L30" i="21"/>
  <c r="H15" i="20"/>
  <c r="H23" i="20" s="1"/>
  <c r="H22" i="20"/>
  <c r="I30" i="20"/>
  <c r="M40" i="22"/>
  <c r="J28" i="21"/>
  <c r="J32" i="21" s="1"/>
  <c r="J31" i="21"/>
  <c r="G23" i="6"/>
  <c r="G35" i="6" s="1"/>
  <c r="I31" i="6"/>
  <c r="I28" i="6"/>
  <c r="I32" i="6" s="1"/>
  <c r="K14" i="21"/>
  <c r="K19" i="21"/>
  <c r="L9" i="21"/>
  <c r="K25" i="21"/>
  <c r="K10" i="21"/>
  <c r="K11" i="21" s="1"/>
  <c r="K27" i="21" s="1"/>
  <c r="K26" i="21"/>
  <c r="K21" i="21"/>
  <c r="J15" i="21"/>
  <c r="J23" i="21" s="1"/>
  <c r="J22" i="21"/>
  <c r="G22" i="6"/>
  <c r="C13" i="15"/>
  <c r="F19" i="20"/>
  <c r="F23" i="20" s="1"/>
  <c r="F35" i="20" s="1"/>
  <c r="F22" i="20"/>
  <c r="F34" i="20" s="1"/>
  <c r="E12" i="13"/>
  <c r="F12" i="13" s="1"/>
  <c r="J19" i="6"/>
  <c r="K9" i="6"/>
  <c r="J26" i="6"/>
  <c r="J21" i="6"/>
  <c r="J14" i="6"/>
  <c r="J17" i="6"/>
  <c r="J10" i="6"/>
  <c r="J11" i="6" s="1"/>
  <c r="J27" i="6" s="1"/>
  <c r="J25" i="6"/>
  <c r="I22" i="6"/>
  <c r="I15" i="6"/>
  <c r="I23" i="6" s="1"/>
  <c r="H28" i="20"/>
  <c r="H32" i="20" s="1"/>
  <c r="H34" i="20" s="1"/>
  <c r="H31" i="20"/>
  <c r="K30" i="21"/>
  <c r="AB17" i="23"/>
  <c r="AD17" i="23" s="1"/>
  <c r="V20" i="23" s="1"/>
  <c r="L696" i="3"/>
  <c r="J696" i="3"/>
  <c r="J695" i="3" s="1"/>
  <c r="K695" i="3" s="1"/>
  <c r="L695" i="3" s="1"/>
  <c r="M695" i="3" s="1"/>
  <c r="C162" i="3"/>
  <c r="K641" i="3"/>
  <c r="L641" i="3" s="1"/>
  <c r="Q1210" i="3"/>
  <c r="Q1211" i="3" s="1"/>
  <c r="O1210" i="3"/>
  <c r="O1211" i="3" s="1"/>
  <c r="O1261" i="3"/>
  <c r="Q1219" i="3"/>
  <c r="Q1220" i="3" s="1"/>
  <c r="M262" i="3"/>
  <c r="P669" i="3"/>
  <c r="P1210" i="3"/>
  <c r="P1211" i="3" s="1"/>
  <c r="G1381" i="3"/>
  <c r="G1380" i="3"/>
  <c r="J443" i="3"/>
  <c r="J1640" i="3"/>
  <c r="J1643" i="3" s="1"/>
  <c r="O1643" i="3" s="1"/>
  <c r="P1214" i="3"/>
  <c r="P1219" i="3"/>
  <c r="P1220" i="3" s="1"/>
  <c r="O1649" i="3"/>
  <c r="O1640" i="3"/>
  <c r="P210" i="3"/>
  <c r="M209" i="3"/>
  <c r="K643" i="3"/>
  <c r="K642" i="3" s="1"/>
  <c r="J646" i="3"/>
  <c r="L325" i="3"/>
  <c r="L322" i="3"/>
  <c r="L323" i="3"/>
  <c r="L324" i="3"/>
  <c r="L326" i="3"/>
  <c r="B290" i="3"/>
  <c r="C238" i="3"/>
  <c r="J1649" i="3"/>
  <c r="O367" i="3"/>
  <c r="P368" i="3"/>
  <c r="O1218" i="3"/>
  <c r="M368" i="3"/>
  <c r="O368" i="3" s="1"/>
  <c r="L369" i="3"/>
  <c r="O262" i="3"/>
  <c r="L262" i="3"/>
  <c r="P262" i="3"/>
  <c r="I697" i="3"/>
  <c r="J694" i="3"/>
  <c r="O1632" i="3"/>
  <c r="J1652" i="3"/>
  <c r="O1652" i="3" s="1"/>
  <c r="I145" i="3"/>
  <c r="J438" i="3" s="1"/>
  <c r="AC28" i="23"/>
  <c r="V45" i="24"/>
  <c r="AA45" i="24" s="1"/>
  <c r="AE45" i="24" s="1"/>
  <c r="V42" i="24"/>
  <c r="AA39" i="24"/>
  <c r="AA31" i="24"/>
  <c r="V33" i="24"/>
  <c r="G13" i="13" l="1"/>
  <c r="B15" i="13"/>
  <c r="D14" i="13"/>
  <c r="C14" i="15"/>
  <c r="G34" i="21"/>
  <c r="I34" i="6"/>
  <c r="L1319" i="3"/>
  <c r="P1319" i="3" s="1"/>
  <c r="O1219" i="3"/>
  <c r="O1220" i="3" s="1"/>
  <c r="O1222" i="3" s="1"/>
  <c r="H19" i="29"/>
  <c r="L19" i="29" s="1"/>
  <c r="O1216" i="3"/>
  <c r="H15" i="29"/>
  <c r="L15" i="29" s="1"/>
  <c r="L1316" i="3"/>
  <c r="P1316" i="3" s="1"/>
  <c r="AA42" i="24"/>
  <c r="AE42" i="24" s="1"/>
  <c r="AE39" i="24"/>
  <c r="AA33" i="24"/>
  <c r="AE33" i="24" s="1"/>
  <c r="AE31" i="24"/>
  <c r="N1256" i="3"/>
  <c r="O1267" i="3" s="1"/>
  <c r="O1269" i="3" s="1"/>
  <c r="O1270" i="3" s="1"/>
  <c r="AE20" i="23"/>
  <c r="AB20" i="23" s="1"/>
  <c r="AC34" i="23" s="1"/>
  <c r="AC36" i="23" s="1"/>
  <c r="AC37" i="23" s="1"/>
  <c r="K645" i="3"/>
  <c r="O1264" i="3"/>
  <c r="O1272" i="3" s="1"/>
  <c r="AC31" i="23"/>
  <c r="AC32" i="23" s="1"/>
  <c r="N951" i="3"/>
  <c r="P951" i="3" s="1"/>
  <c r="N950" i="3"/>
  <c r="P950" i="3" s="1"/>
  <c r="G34" i="20"/>
  <c r="H35" i="20"/>
  <c r="G34" i="6"/>
  <c r="F35" i="6"/>
  <c r="H34" i="6"/>
  <c r="H35" i="6"/>
  <c r="Q1223" i="3"/>
  <c r="Q1222" i="3"/>
  <c r="C12" i="13"/>
  <c r="E13" i="13" s="1"/>
  <c r="F13" i="13" s="1"/>
  <c r="G14" i="13" s="1"/>
  <c r="K22" i="21"/>
  <c r="K15" i="21"/>
  <c r="K23" i="21" s="1"/>
  <c r="I35" i="6"/>
  <c r="I15" i="20"/>
  <c r="I23" i="20" s="1"/>
  <c r="I22" i="20"/>
  <c r="J22" i="6"/>
  <c r="J15" i="6"/>
  <c r="J23" i="6" s="1"/>
  <c r="K28" i="21"/>
  <c r="K32" i="21" s="1"/>
  <c r="K34" i="21" s="1"/>
  <c r="K31" i="21"/>
  <c r="K35" i="21" s="1"/>
  <c r="D14" i="15"/>
  <c r="B15" i="15"/>
  <c r="C15" i="15" s="1"/>
  <c r="J28" i="6"/>
  <c r="J32" i="6" s="1"/>
  <c r="J31" i="6"/>
  <c r="L10" i="21"/>
  <c r="L11" i="21" s="1"/>
  <c r="L27" i="21" s="1"/>
  <c r="L25" i="21"/>
  <c r="L26" i="21"/>
  <c r="M9" i="21"/>
  <c r="L17" i="21"/>
  <c r="L21" i="21"/>
  <c r="L19" i="21"/>
  <c r="L14" i="21"/>
  <c r="J35" i="21"/>
  <c r="G35" i="20"/>
  <c r="J25" i="20"/>
  <c r="J10" i="20"/>
  <c r="J11" i="20" s="1"/>
  <c r="J27" i="20" s="1"/>
  <c r="J14" i="20"/>
  <c r="K9" i="20"/>
  <c r="J30" i="20"/>
  <c r="J26" i="20"/>
  <c r="J19" i="20"/>
  <c r="J17" i="20"/>
  <c r="J21" i="20"/>
  <c r="K10" i="6"/>
  <c r="K11" i="6" s="1"/>
  <c r="K27" i="6" s="1"/>
  <c r="K26" i="6"/>
  <c r="K17" i="6"/>
  <c r="K30" i="6"/>
  <c r="K25" i="6"/>
  <c r="L9" i="6"/>
  <c r="K14" i="6"/>
  <c r="K21" i="6"/>
  <c r="J34" i="21"/>
  <c r="I28" i="20"/>
  <c r="I32" i="20" s="1"/>
  <c r="I31" i="20"/>
  <c r="K19" i="6"/>
  <c r="M696" i="3"/>
  <c r="O696" i="3" s="1"/>
  <c r="O695" i="3"/>
  <c r="P695" i="3"/>
  <c r="P1223" i="3"/>
  <c r="P1222" i="3"/>
  <c r="K644" i="3"/>
  <c r="M641" i="3"/>
  <c r="M645" i="3" s="1"/>
  <c r="L645" i="3"/>
  <c r="M263" i="3"/>
  <c r="M1640" i="3"/>
  <c r="Q1640" i="3" s="1"/>
  <c r="N1654" i="3"/>
  <c r="L643" i="3"/>
  <c r="L642" i="3" s="1"/>
  <c r="N325" i="3"/>
  <c r="M325" i="3"/>
  <c r="N324" i="3"/>
  <c r="M324" i="3"/>
  <c r="N210" i="3"/>
  <c r="O210" i="3" s="1"/>
  <c r="M210" i="3" s="1"/>
  <c r="Q367" i="3"/>
  <c r="N322" i="3"/>
  <c r="M322" i="3"/>
  <c r="J693" i="3"/>
  <c r="K262" i="3"/>
  <c r="N326" i="3"/>
  <c r="M326" i="3"/>
  <c r="M369" i="3"/>
  <c r="O369" i="3" s="1"/>
  <c r="L370" i="3"/>
  <c r="P369" i="3"/>
  <c r="B342" i="3"/>
  <c r="C290" i="3"/>
  <c r="M323" i="3"/>
  <c r="N323" i="3"/>
  <c r="V36" i="24"/>
  <c r="AA36" i="24" s="1"/>
  <c r="P1320" i="3" l="1"/>
  <c r="P1325" i="3" s="1"/>
  <c r="P1327" i="3" s="1"/>
  <c r="O1223" i="3"/>
  <c r="D15" i="13"/>
  <c r="B16" i="13"/>
  <c r="L1320" i="3"/>
  <c r="L20" i="29"/>
  <c r="L31" i="29" s="1"/>
  <c r="L35" i="29" s="1"/>
  <c r="H20" i="29"/>
  <c r="Y33" i="24"/>
  <c r="AC33" i="24" s="1"/>
  <c r="AA47" i="24"/>
  <c r="AE36" i="24"/>
  <c r="AC40" i="23"/>
  <c r="AC43" i="23" s="1"/>
  <c r="AC46" i="23" s="1"/>
  <c r="P1302" i="3"/>
  <c r="N1413" i="3" s="1"/>
  <c r="AC39" i="23"/>
  <c r="P719" i="3"/>
  <c r="P775" i="3"/>
  <c r="I35" i="20"/>
  <c r="J35" i="6"/>
  <c r="L1411" i="3"/>
  <c r="O1265" i="3"/>
  <c r="O1273" i="3" s="1"/>
  <c r="K31" i="6"/>
  <c r="K28" i="6"/>
  <c r="J15" i="20"/>
  <c r="J23" i="20" s="1"/>
  <c r="J22" i="20"/>
  <c r="J34" i="6"/>
  <c r="K14" i="20"/>
  <c r="K26" i="20"/>
  <c r="K25" i="20"/>
  <c r="K17" i="20"/>
  <c r="L9" i="20"/>
  <c r="K10" i="20"/>
  <c r="K11" i="20" s="1"/>
  <c r="K27" i="20" s="1"/>
  <c r="K30" i="20"/>
  <c r="K21" i="20"/>
  <c r="K19" i="20"/>
  <c r="N9" i="21"/>
  <c r="M17" i="21"/>
  <c r="M25" i="21"/>
  <c r="M21" i="21"/>
  <c r="M14" i="21"/>
  <c r="M19" i="21"/>
  <c r="M26" i="21"/>
  <c r="M10" i="21"/>
  <c r="M11" i="21" s="1"/>
  <c r="M27" i="21" s="1"/>
  <c r="M30" i="21"/>
  <c r="K32" i="6"/>
  <c r="J28" i="20"/>
  <c r="J32" i="20" s="1"/>
  <c r="J31" i="20"/>
  <c r="D15" i="15"/>
  <c r="B16" i="15"/>
  <c r="M9" i="6"/>
  <c r="L10" i="6"/>
  <c r="L11" i="6" s="1"/>
  <c r="L27" i="6" s="1"/>
  <c r="L17" i="6"/>
  <c r="L21" i="6"/>
  <c r="L26" i="6"/>
  <c r="L25" i="6"/>
  <c r="L14" i="6"/>
  <c r="L19" i="6"/>
  <c r="L30" i="6"/>
  <c r="L15" i="21"/>
  <c r="L23" i="21" s="1"/>
  <c r="L22" i="21"/>
  <c r="I34" i="20"/>
  <c r="C13" i="13"/>
  <c r="K15" i="6"/>
  <c r="K23" i="6" s="1"/>
  <c r="K22" i="6"/>
  <c r="L28" i="21"/>
  <c r="L32" i="21" s="1"/>
  <c r="L31" i="21"/>
  <c r="L35" i="21" s="1"/>
  <c r="P718" i="3"/>
  <c r="L644" i="3"/>
  <c r="M644" i="3" s="1"/>
  <c r="P644" i="3" s="1"/>
  <c r="O1655" i="3"/>
  <c r="E1658" i="3"/>
  <c r="K1658" i="3" s="1"/>
  <c r="K646" i="3"/>
  <c r="O645" i="3"/>
  <c r="P370" i="3"/>
  <c r="P211" i="3"/>
  <c r="N211" i="3"/>
  <c r="O211" i="3" s="1"/>
  <c r="M211" i="3" s="1"/>
  <c r="P322" i="3"/>
  <c r="O323" i="3"/>
  <c r="O324" i="3" s="1"/>
  <c r="O325" i="3" s="1"/>
  <c r="O326" i="3" s="1"/>
  <c r="M643" i="3"/>
  <c r="B385" i="3"/>
  <c r="C342" i="3"/>
  <c r="L371" i="3"/>
  <c r="M371" i="3" s="1"/>
  <c r="O371" i="3" s="1"/>
  <c r="M370" i="3"/>
  <c r="O370" i="3" s="1"/>
  <c r="Q368" i="3"/>
  <c r="Q369" i="3" s="1"/>
  <c r="O263" i="3"/>
  <c r="P263" i="3"/>
  <c r="L263" i="3"/>
  <c r="M264" i="3" s="1"/>
  <c r="K694" i="3"/>
  <c r="K693" i="3" s="1"/>
  <c r="J697" i="3"/>
  <c r="D16" i="13" l="1"/>
  <c r="B17" i="13"/>
  <c r="AE47" i="24"/>
  <c r="AA48" i="24"/>
  <c r="W49" i="24"/>
  <c r="AA49" i="24" s="1"/>
  <c r="I1418" i="3"/>
  <c r="L646" i="3"/>
  <c r="I1419" i="3"/>
  <c r="I1420" i="3"/>
  <c r="I1421" i="3"/>
  <c r="P1301" i="3"/>
  <c r="P1303" i="3" s="1"/>
  <c r="P1305" i="3" s="1"/>
  <c r="J35" i="20"/>
  <c r="J34" i="20"/>
  <c r="K34" i="6"/>
  <c r="H369" i="3"/>
  <c r="L34" i="21"/>
  <c r="L28" i="6"/>
  <c r="L32" i="6" s="1"/>
  <c r="L31" i="6"/>
  <c r="M15" i="21"/>
  <c r="M23" i="21" s="1"/>
  <c r="M22" i="21"/>
  <c r="N17" i="21"/>
  <c r="N14" i="21"/>
  <c r="N26" i="21"/>
  <c r="N25" i="21"/>
  <c r="N10" i="21"/>
  <c r="N11" i="21" s="1"/>
  <c r="N27" i="21" s="1"/>
  <c r="N19" i="21"/>
  <c r="O9" i="21"/>
  <c r="N21" i="21"/>
  <c r="N30" i="21"/>
  <c r="K28" i="20"/>
  <c r="K32" i="20" s="1"/>
  <c r="K31" i="20"/>
  <c r="K35" i="6"/>
  <c r="E14" i="13"/>
  <c r="F14" i="13" s="1"/>
  <c r="G15" i="13" s="1"/>
  <c r="M10" i="6"/>
  <c r="M11" i="6" s="1"/>
  <c r="M27" i="6" s="1"/>
  <c r="M21" i="6"/>
  <c r="M14" i="6"/>
  <c r="N9" i="6"/>
  <c r="M19" i="6"/>
  <c r="M17" i="6"/>
  <c r="M25" i="6"/>
  <c r="M26" i="6"/>
  <c r="M30" i="6"/>
  <c r="M28" i="21"/>
  <c r="M32" i="21" s="1"/>
  <c r="M34" i="21" s="1"/>
  <c r="M31" i="21"/>
  <c r="M35" i="21" s="1"/>
  <c r="M9" i="20"/>
  <c r="L17" i="20"/>
  <c r="L10" i="20"/>
  <c r="L11" i="20" s="1"/>
  <c r="L27" i="20" s="1"/>
  <c r="L14" i="20"/>
  <c r="L25" i="20"/>
  <c r="L26" i="20"/>
  <c r="L30" i="20"/>
  <c r="L19" i="20"/>
  <c r="L21" i="20"/>
  <c r="K15" i="20"/>
  <c r="K23" i="20" s="1"/>
  <c r="K22" i="20"/>
  <c r="L15" i="6"/>
  <c r="L23" i="6" s="1"/>
  <c r="L22" i="6"/>
  <c r="B17" i="15"/>
  <c r="D16" i="15"/>
  <c r="C16" i="15"/>
  <c r="O644" i="3"/>
  <c r="P371" i="3"/>
  <c r="P212" i="3"/>
  <c r="Q370" i="3"/>
  <c r="Q371" i="3" s="1"/>
  <c r="O643" i="3"/>
  <c r="L694" i="3"/>
  <c r="L693" i="3" s="1"/>
  <c r="K697" i="3"/>
  <c r="B515" i="3"/>
  <c r="C385" i="3"/>
  <c r="K263" i="3"/>
  <c r="M642" i="3"/>
  <c r="N212" i="3"/>
  <c r="O212" i="3" s="1"/>
  <c r="O264" i="3"/>
  <c r="P323" i="3"/>
  <c r="P324" i="3" s="1"/>
  <c r="P325" i="3" s="1"/>
  <c r="P326" i="3" s="1"/>
  <c r="H370" i="3"/>
  <c r="D17" i="13" l="1"/>
  <c r="B18" i="13"/>
  <c r="K34" i="20"/>
  <c r="C14" i="13"/>
  <c r="E15" i="13" s="1"/>
  <c r="F15" i="13" s="1"/>
  <c r="L28" i="20"/>
  <c r="L31" i="20"/>
  <c r="N22" i="21"/>
  <c r="N15" i="21"/>
  <c r="N23" i="21" s="1"/>
  <c r="M28" i="6"/>
  <c r="M32" i="6" s="1"/>
  <c r="M31" i="6"/>
  <c r="N28" i="21"/>
  <c r="N32" i="21" s="1"/>
  <c r="N31" i="21"/>
  <c r="L35" i="6"/>
  <c r="C17" i="15"/>
  <c r="M14" i="20"/>
  <c r="M17" i="20"/>
  <c r="N9" i="20"/>
  <c r="M10" i="20"/>
  <c r="M11" i="20" s="1"/>
  <c r="M27" i="20" s="1"/>
  <c r="M26" i="20"/>
  <c r="M19" i="20"/>
  <c r="M25" i="20"/>
  <c r="M30" i="20"/>
  <c r="M21" i="20"/>
  <c r="N10" i="6"/>
  <c r="N11" i="6" s="1"/>
  <c r="N27" i="6" s="1"/>
  <c r="O9" i="6"/>
  <c r="N26" i="6"/>
  <c r="N14" i="6"/>
  <c r="N25" i="6"/>
  <c r="N17" i="6"/>
  <c r="N21" i="6"/>
  <c r="N30" i="6"/>
  <c r="N19" i="6"/>
  <c r="L34" i="6"/>
  <c r="D17" i="15"/>
  <c r="B18" i="15"/>
  <c r="L32" i="20"/>
  <c r="L15" i="20"/>
  <c r="L23" i="20" s="1"/>
  <c r="L22" i="20"/>
  <c r="M15" i="6"/>
  <c r="M23" i="6" s="1"/>
  <c r="M22" i="6"/>
  <c r="K35" i="20"/>
  <c r="P9" i="21"/>
  <c r="O25" i="21"/>
  <c r="O26" i="21"/>
  <c r="O21" i="21"/>
  <c r="O17" i="21"/>
  <c r="O14" i="21"/>
  <c r="O10" i="21"/>
  <c r="O11" i="21" s="1"/>
  <c r="O27" i="21" s="1"/>
  <c r="O19" i="21"/>
  <c r="O30" i="21"/>
  <c r="P213" i="3"/>
  <c r="H371" i="3"/>
  <c r="J442" i="3" s="1"/>
  <c r="L697" i="3"/>
  <c r="M694" i="3"/>
  <c r="O694" i="3" s="1"/>
  <c r="I326" i="3"/>
  <c r="J441" i="3" s="1"/>
  <c r="M646" i="3"/>
  <c r="O642" i="3"/>
  <c r="P642" i="3"/>
  <c r="L264" i="3"/>
  <c r="K264" i="3" s="1"/>
  <c r="H264" i="3" s="1"/>
  <c r="J440" i="3" s="1"/>
  <c r="B546" i="3"/>
  <c r="D515" i="3"/>
  <c r="M212" i="3"/>
  <c r="B19" i="13" l="1"/>
  <c r="D18" i="13"/>
  <c r="L34" i="20"/>
  <c r="N34" i="21"/>
  <c r="M34" i="6"/>
  <c r="C15" i="13"/>
  <c r="E16" i="13" s="1"/>
  <c r="F16" i="13" s="1"/>
  <c r="G16" i="13"/>
  <c r="G17" i="13" s="1"/>
  <c r="N10" i="20"/>
  <c r="N11" i="20" s="1"/>
  <c r="N27" i="20" s="1"/>
  <c r="O9" i="20"/>
  <c r="N26" i="20"/>
  <c r="N17" i="20"/>
  <c r="N14" i="20"/>
  <c r="N25" i="20"/>
  <c r="N30" i="20"/>
  <c r="N19" i="20"/>
  <c r="N21" i="20"/>
  <c r="B19" i="15"/>
  <c r="D18" i="15"/>
  <c r="N28" i="6"/>
  <c r="N32" i="6" s="1"/>
  <c r="N31" i="6"/>
  <c r="M35" i="6"/>
  <c r="P14" i="21"/>
  <c r="P10" i="21"/>
  <c r="P11" i="21" s="1"/>
  <c r="P27" i="21" s="1"/>
  <c r="P25" i="21"/>
  <c r="P17" i="21"/>
  <c r="P21" i="21"/>
  <c r="P26" i="21"/>
  <c r="Q9" i="21"/>
  <c r="P19" i="21"/>
  <c r="P30" i="21"/>
  <c r="O28" i="21"/>
  <c r="O31" i="21"/>
  <c r="N22" i="6"/>
  <c r="N15" i="6"/>
  <c r="N23" i="6" s="1"/>
  <c r="M22" i="20"/>
  <c r="M15" i="20"/>
  <c r="M23" i="20" s="1"/>
  <c r="L35" i="20"/>
  <c r="O32" i="21"/>
  <c r="O10" i="6"/>
  <c r="O11" i="6" s="1"/>
  <c r="O27" i="6" s="1"/>
  <c r="O21" i="6"/>
  <c r="O26" i="6"/>
  <c r="O30" i="6"/>
  <c r="P9" i="6"/>
  <c r="O25" i="6"/>
  <c r="O14" i="6"/>
  <c r="O17" i="6"/>
  <c r="O19" i="6"/>
  <c r="O15" i="21"/>
  <c r="O23" i="21" s="1"/>
  <c r="O22" i="21"/>
  <c r="M28" i="20"/>
  <c r="M32" i="20" s="1"/>
  <c r="M31" i="20"/>
  <c r="C18" i="15"/>
  <c r="C19" i="15" s="1"/>
  <c r="N35" i="21"/>
  <c r="O838" i="3"/>
  <c r="H1487" i="3"/>
  <c r="D546" i="3"/>
  <c r="B585" i="3"/>
  <c r="H925" i="3"/>
  <c r="Q642" i="3"/>
  <c r="Q644" i="3"/>
  <c r="H668" i="3" s="1"/>
  <c r="L668" i="3" s="1"/>
  <c r="M693" i="3"/>
  <c r="N213" i="3"/>
  <c r="O213" i="3" s="1"/>
  <c r="M213" i="3" s="1"/>
  <c r="I213" i="3" s="1"/>
  <c r="J439" i="3" s="1"/>
  <c r="P646" i="3"/>
  <c r="Q646" i="3" s="1"/>
  <c r="H667" i="3" s="1"/>
  <c r="L667" i="3" s="1"/>
  <c r="O646" i="3"/>
  <c r="D19" i="13" l="1"/>
  <c r="B20" i="13"/>
  <c r="O693" i="3"/>
  <c r="P693" i="3"/>
  <c r="M34" i="20"/>
  <c r="O35" i="21"/>
  <c r="N34" i="6"/>
  <c r="C16" i="13"/>
  <c r="E17" i="13" s="1"/>
  <c r="F17" i="13" s="1"/>
  <c r="C17" i="13" s="1"/>
  <c r="M35" i="20"/>
  <c r="R9" i="21"/>
  <c r="Q26" i="21"/>
  <c r="Q21" i="21"/>
  <c r="Q10" i="21"/>
  <c r="Q11" i="21" s="1"/>
  <c r="Q27" i="21" s="1"/>
  <c r="Q14" i="21"/>
  <c r="Q30" i="21"/>
  <c r="Q19" i="21"/>
  <c r="Q17" i="21"/>
  <c r="Q25" i="21"/>
  <c r="N35" i="6"/>
  <c r="P25" i="6"/>
  <c r="P14" i="6"/>
  <c r="P17" i="6"/>
  <c r="Q9" i="6"/>
  <c r="P21" i="6"/>
  <c r="P26" i="6"/>
  <c r="P30" i="6"/>
  <c r="P10" i="6"/>
  <c r="P11" i="6" s="1"/>
  <c r="P27" i="6" s="1"/>
  <c r="P19" i="6"/>
  <c r="O31" i="6"/>
  <c r="O28" i="6"/>
  <c r="O32" i="6" s="1"/>
  <c r="P28" i="21"/>
  <c r="P31" i="21"/>
  <c r="P9" i="20"/>
  <c r="O25" i="20"/>
  <c r="O26" i="20"/>
  <c r="O14" i="20"/>
  <c r="O10" i="20"/>
  <c r="O11" i="20" s="1"/>
  <c r="O27" i="20" s="1"/>
  <c r="O17" i="20"/>
  <c r="O30" i="20"/>
  <c r="O19" i="20"/>
  <c r="O21" i="20"/>
  <c r="O15" i="6"/>
  <c r="O23" i="6" s="1"/>
  <c r="O22" i="6"/>
  <c r="D19" i="15"/>
  <c r="B20" i="15"/>
  <c r="C20" i="15" s="1"/>
  <c r="O34" i="21"/>
  <c r="P32" i="21"/>
  <c r="P22" i="21"/>
  <c r="P15" i="21"/>
  <c r="P23" i="21" s="1"/>
  <c r="N15" i="20"/>
  <c r="N23" i="20" s="1"/>
  <c r="N22" i="20"/>
  <c r="N28" i="20"/>
  <c r="N32" i="20" s="1"/>
  <c r="N34" i="20" s="1"/>
  <c r="N31" i="20"/>
  <c r="L669" i="3"/>
  <c r="M697" i="3"/>
  <c r="B1065" i="3"/>
  <c r="C585" i="3"/>
  <c r="B21" i="13" l="1"/>
  <c r="D20" i="13"/>
  <c r="H774" i="3"/>
  <c r="L774" i="3" s="1"/>
  <c r="H773" i="3"/>
  <c r="L773" i="3" s="1"/>
  <c r="P34" i="21"/>
  <c r="O34" i="6"/>
  <c r="G18" i="13"/>
  <c r="P31" i="6"/>
  <c r="P28" i="6"/>
  <c r="Q25" i="6"/>
  <c r="Q30" i="6"/>
  <c r="Q21" i="6"/>
  <c r="Q17" i="6"/>
  <c r="Q14" i="6"/>
  <c r="Q10" i="6"/>
  <c r="Q11" i="6" s="1"/>
  <c r="Q27" i="6" s="1"/>
  <c r="Q19" i="6"/>
  <c r="Q26" i="6"/>
  <c r="R9" i="6"/>
  <c r="N35" i="20"/>
  <c r="P32" i="6"/>
  <c r="Q22" i="21"/>
  <c r="Q15" i="21"/>
  <c r="Q23" i="21" s="1"/>
  <c r="R21" i="21"/>
  <c r="S9" i="21"/>
  <c r="R14" i="21"/>
  <c r="R10" i="21"/>
  <c r="R11" i="21" s="1"/>
  <c r="R27" i="21" s="1"/>
  <c r="R25" i="21"/>
  <c r="R19" i="21"/>
  <c r="R17" i="21"/>
  <c r="R26" i="21"/>
  <c r="R30" i="21"/>
  <c r="O15" i="20"/>
  <c r="O23" i="20" s="1"/>
  <c r="O22" i="20"/>
  <c r="E18" i="13"/>
  <c r="F18" i="13" s="1"/>
  <c r="P35" i="21"/>
  <c r="O35" i="6"/>
  <c r="P15" i="6"/>
  <c r="P23" i="6" s="1"/>
  <c r="P22" i="6"/>
  <c r="Q28" i="21"/>
  <c r="Q32" i="21" s="1"/>
  <c r="Q31" i="21"/>
  <c r="D20" i="15"/>
  <c r="B21" i="15"/>
  <c r="O28" i="20"/>
  <c r="O32" i="20" s="1"/>
  <c r="O31" i="20"/>
  <c r="P14" i="20"/>
  <c r="P17" i="20"/>
  <c r="P25" i="20"/>
  <c r="Q9" i="20"/>
  <c r="P26" i="20"/>
  <c r="P10" i="20"/>
  <c r="P11" i="20" s="1"/>
  <c r="P27" i="20" s="1"/>
  <c r="P30" i="20"/>
  <c r="P21" i="20"/>
  <c r="P19" i="20"/>
  <c r="Q1236" i="3"/>
  <c r="C1065" i="3"/>
  <c r="B1115" i="3"/>
  <c r="Q693" i="3"/>
  <c r="Q695" i="3"/>
  <c r="H720" i="3" s="1"/>
  <c r="L720" i="3" s="1"/>
  <c r="O697" i="3"/>
  <c r="N719" i="3" s="1"/>
  <c r="P697" i="3"/>
  <c r="Q697" i="3" s="1"/>
  <c r="H719" i="3" s="1"/>
  <c r="L719" i="3" s="1"/>
  <c r="Q34" i="21" l="1"/>
  <c r="D21" i="13"/>
  <c r="B22" i="13"/>
  <c r="L775" i="3"/>
  <c r="O773" i="3"/>
  <c r="O35" i="20"/>
  <c r="P35" i="6"/>
  <c r="P34" i="6"/>
  <c r="G19" i="13"/>
  <c r="C18" i="13"/>
  <c r="P28" i="20"/>
  <c r="P31" i="20"/>
  <c r="R28" i="21"/>
  <c r="R31" i="21"/>
  <c r="Q10" i="20"/>
  <c r="Q11" i="20" s="1"/>
  <c r="Q27" i="20" s="1"/>
  <c r="Q17" i="20"/>
  <c r="R9" i="20"/>
  <c r="Q25" i="20"/>
  <c r="Q26" i="20"/>
  <c r="Q14" i="20"/>
  <c r="Q30" i="20"/>
  <c r="Q21" i="20"/>
  <c r="Q19" i="20"/>
  <c r="T9" i="21"/>
  <c r="S14" i="21"/>
  <c r="S25" i="21"/>
  <c r="S10" i="21"/>
  <c r="S11" i="21" s="1"/>
  <c r="S27" i="21" s="1"/>
  <c r="S21" i="21"/>
  <c r="S26" i="21"/>
  <c r="S19" i="21"/>
  <c r="S17" i="21"/>
  <c r="S30" i="21"/>
  <c r="Q31" i="6"/>
  <c r="Q28" i="6"/>
  <c r="Q32" i="6" s="1"/>
  <c r="D21" i="15"/>
  <c r="B22" i="15"/>
  <c r="E19" i="13"/>
  <c r="F19" i="13" s="1"/>
  <c r="G20" i="13" s="1"/>
  <c r="P15" i="20"/>
  <c r="P23" i="20" s="1"/>
  <c r="P22" i="20"/>
  <c r="R22" i="21"/>
  <c r="R15" i="21"/>
  <c r="R23" i="21" s="1"/>
  <c r="O34" i="20"/>
  <c r="P32" i="20"/>
  <c r="Q35" i="21"/>
  <c r="R32" i="21"/>
  <c r="S9" i="6"/>
  <c r="R30" i="6"/>
  <c r="R25" i="6"/>
  <c r="R14" i="6"/>
  <c r="R10" i="6"/>
  <c r="R11" i="6" s="1"/>
  <c r="R27" i="6" s="1"/>
  <c r="R17" i="6"/>
  <c r="R26" i="6"/>
  <c r="R21" i="6"/>
  <c r="R19" i="6"/>
  <c r="Q15" i="6"/>
  <c r="Q23" i="6" s="1"/>
  <c r="Q22" i="6"/>
  <c r="C21" i="15"/>
  <c r="C22" i="15" s="1"/>
  <c r="L721" i="3"/>
  <c r="B1184" i="3"/>
  <c r="C1115" i="3"/>
  <c r="O719" i="3"/>
  <c r="N718" i="3"/>
  <c r="P721" i="3" s="1"/>
  <c r="R34" i="21" l="1"/>
  <c r="D22" i="13"/>
  <c r="B23" i="13"/>
  <c r="P34" i="20"/>
  <c r="Q34" i="6"/>
  <c r="T14" i="21"/>
  <c r="U9" i="21"/>
  <c r="T17" i="21"/>
  <c r="T21" i="21"/>
  <c r="T26" i="21"/>
  <c r="T10" i="21"/>
  <c r="T11" i="21" s="1"/>
  <c r="T27" i="21" s="1"/>
  <c r="T19" i="21"/>
  <c r="T25" i="21"/>
  <c r="T30" i="21"/>
  <c r="R31" i="6"/>
  <c r="R28" i="6"/>
  <c r="S17" i="6"/>
  <c r="S25" i="6"/>
  <c r="S14" i="6"/>
  <c r="S26" i="6"/>
  <c r="T9" i="6"/>
  <c r="S21" i="6"/>
  <c r="S30" i="6"/>
  <c r="S10" i="6"/>
  <c r="S11" i="6" s="1"/>
  <c r="S27" i="6" s="1"/>
  <c r="S19" i="6"/>
  <c r="C19" i="13"/>
  <c r="S31" i="21"/>
  <c r="S28" i="21"/>
  <c r="S32" i="21" s="1"/>
  <c r="Q28" i="20"/>
  <c r="Q31" i="20"/>
  <c r="P35" i="20"/>
  <c r="R32" i="6"/>
  <c r="Q15" i="20"/>
  <c r="Q23" i="20" s="1"/>
  <c r="Q22" i="20"/>
  <c r="C23" i="15"/>
  <c r="R22" i="6"/>
  <c r="R15" i="6"/>
  <c r="R23" i="6" s="1"/>
  <c r="D22" i="15"/>
  <c r="B23" i="15"/>
  <c r="Q35" i="6"/>
  <c r="S22" i="21"/>
  <c r="S15" i="21"/>
  <c r="S23" i="21" s="1"/>
  <c r="Q32" i="20"/>
  <c r="R26" i="20"/>
  <c r="R25" i="20"/>
  <c r="R14" i="20"/>
  <c r="R10" i="20"/>
  <c r="R11" i="20" s="1"/>
  <c r="R27" i="20" s="1"/>
  <c r="R17" i="20"/>
  <c r="S9" i="20"/>
  <c r="R30" i="20"/>
  <c r="R19" i="20"/>
  <c r="R21" i="20"/>
  <c r="R35" i="21"/>
  <c r="C1308" i="3"/>
  <c r="C1184" i="3"/>
  <c r="S2" i="22"/>
  <c r="B1238" i="3"/>
  <c r="E1405" i="3" s="1"/>
  <c r="S34" i="21" l="1"/>
  <c r="B24" i="13"/>
  <c r="D23" i="13"/>
  <c r="Q34" i="20"/>
  <c r="R34" i="6"/>
  <c r="R35" i="6"/>
  <c r="R28" i="20"/>
  <c r="R32" i="20" s="1"/>
  <c r="R31" i="20"/>
  <c r="S28" i="6"/>
  <c r="S32" i="6" s="1"/>
  <c r="S31" i="6"/>
  <c r="R15" i="20"/>
  <c r="R23" i="20" s="1"/>
  <c r="R22" i="20"/>
  <c r="S35" i="21"/>
  <c r="S22" i="6"/>
  <c r="S15" i="6"/>
  <c r="S23" i="6" s="1"/>
  <c r="T28" i="21"/>
  <c r="T31" i="21"/>
  <c r="U21" i="21"/>
  <c r="U19" i="21"/>
  <c r="U26" i="21"/>
  <c r="U25" i="21"/>
  <c r="U14" i="21"/>
  <c r="U10" i="21"/>
  <c r="U11" i="21" s="1"/>
  <c r="U27" i="21" s="1"/>
  <c r="U17" i="21"/>
  <c r="U30" i="21"/>
  <c r="S10" i="20"/>
  <c r="S11" i="20" s="1"/>
  <c r="S27" i="20" s="1"/>
  <c r="S17" i="20"/>
  <c r="S26" i="20"/>
  <c r="T9" i="20"/>
  <c r="S25" i="20"/>
  <c r="S14" i="20"/>
  <c r="S30" i="20"/>
  <c r="S21" i="20"/>
  <c r="S19" i="20"/>
  <c r="B24" i="15"/>
  <c r="C24" i="15" s="1"/>
  <c r="D23" i="15"/>
  <c r="Q35" i="20"/>
  <c r="E20" i="13"/>
  <c r="F20" i="13" s="1"/>
  <c r="G21" i="13" s="1"/>
  <c r="T32" i="21"/>
  <c r="T15" i="21"/>
  <c r="T23" i="21" s="1"/>
  <c r="T22" i="21"/>
  <c r="T14" i="6"/>
  <c r="U9" i="6"/>
  <c r="T25" i="6"/>
  <c r="T21" i="6"/>
  <c r="T10" i="6"/>
  <c r="T11" i="6" s="1"/>
  <c r="T27" i="6" s="1"/>
  <c r="T26" i="6"/>
  <c r="T30" i="6"/>
  <c r="T17" i="6"/>
  <c r="T19" i="6"/>
  <c r="C1299" i="3"/>
  <c r="C1238" i="3"/>
  <c r="D24" i="13" l="1"/>
  <c r="B25" i="13"/>
  <c r="S34" i="6"/>
  <c r="C20" i="13"/>
  <c r="E21" i="13" s="1"/>
  <c r="F21" i="13" s="1"/>
  <c r="C21" i="13" s="1"/>
  <c r="S15" i="20"/>
  <c r="S23" i="20" s="1"/>
  <c r="S22" i="20"/>
  <c r="U28" i="21"/>
  <c r="U32" i="21" s="1"/>
  <c r="U31" i="21"/>
  <c r="S31" i="20"/>
  <c r="S28" i="20"/>
  <c r="U22" i="21"/>
  <c r="U15" i="21"/>
  <c r="U23" i="21" s="1"/>
  <c r="T28" i="6"/>
  <c r="T32" i="6" s="1"/>
  <c r="T31" i="6"/>
  <c r="D24" i="15"/>
  <c r="B25" i="15"/>
  <c r="T10" i="20"/>
  <c r="T11" i="20" s="1"/>
  <c r="T27" i="20" s="1"/>
  <c r="T25" i="20"/>
  <c r="T26" i="20"/>
  <c r="T17" i="20"/>
  <c r="T14" i="20"/>
  <c r="T30" i="20"/>
  <c r="U9" i="20"/>
  <c r="T19" i="20"/>
  <c r="T21" i="20"/>
  <c r="T35" i="21"/>
  <c r="R34" i="20"/>
  <c r="R35" i="20"/>
  <c r="T15" i="6"/>
  <c r="T23" i="6" s="1"/>
  <c r="T22" i="6"/>
  <c r="U10" i="6"/>
  <c r="U11" i="6" s="1"/>
  <c r="U27" i="6" s="1"/>
  <c r="U17" i="6"/>
  <c r="U30" i="6"/>
  <c r="U14" i="6"/>
  <c r="U26" i="6"/>
  <c r="U21" i="6"/>
  <c r="U25" i="6"/>
  <c r="U19" i="6"/>
  <c r="T34" i="21"/>
  <c r="S32" i="20"/>
  <c r="S35" i="6"/>
  <c r="B26" i="13" l="1"/>
  <c r="D25" i="13"/>
  <c r="S35" i="20"/>
  <c r="U34" i="21"/>
  <c r="T34" i="6"/>
  <c r="E22" i="13"/>
  <c r="F22" i="13" s="1"/>
  <c r="C22" i="13" s="1"/>
  <c r="T15" i="20"/>
  <c r="T23" i="20" s="1"/>
  <c r="T22" i="20"/>
  <c r="T31" i="20"/>
  <c r="T28" i="20"/>
  <c r="G22" i="13"/>
  <c r="G23" i="13" s="1"/>
  <c r="S34" i="20"/>
  <c r="U31" i="6"/>
  <c r="U28" i="6"/>
  <c r="U32" i="6" s="1"/>
  <c r="U35" i="21"/>
  <c r="T32" i="20"/>
  <c r="T34" i="20" s="1"/>
  <c r="U22" i="6"/>
  <c r="U15" i="6"/>
  <c r="U23" i="6" s="1"/>
  <c r="U14" i="20"/>
  <c r="U25" i="20"/>
  <c r="U17" i="20"/>
  <c r="U30" i="20"/>
  <c r="U10" i="20"/>
  <c r="U11" i="20" s="1"/>
  <c r="U27" i="20" s="1"/>
  <c r="U26" i="20"/>
  <c r="U21" i="20"/>
  <c r="U19" i="20"/>
  <c r="B26" i="15"/>
  <c r="D25" i="15"/>
  <c r="T35" i="6"/>
  <c r="C25" i="15"/>
  <c r="D26" i="13" l="1"/>
  <c r="B27" i="13"/>
  <c r="T35" i="20"/>
  <c r="U34" i="6"/>
  <c r="U35" i="6"/>
  <c r="E23" i="13"/>
  <c r="F23" i="13" s="1"/>
  <c r="C23" i="13" s="1"/>
  <c r="U28" i="20"/>
  <c r="U32" i="20" s="1"/>
  <c r="U31" i="20"/>
  <c r="C26" i="15"/>
  <c r="D26" i="15"/>
  <c r="B27" i="15"/>
  <c r="U15" i="20"/>
  <c r="U23" i="20" s="1"/>
  <c r="U22" i="20"/>
  <c r="D27" i="13" l="1"/>
  <c r="B28" i="13"/>
  <c r="U35" i="20"/>
  <c r="G24" i="13"/>
  <c r="E24" i="13"/>
  <c r="F24" i="13" s="1"/>
  <c r="C24" i="13" s="1"/>
  <c r="C27" i="15"/>
  <c r="C28" i="15" s="1"/>
  <c r="U34" i="20"/>
  <c r="D27" i="15"/>
  <c r="B28" i="15"/>
  <c r="B29" i="13" l="1"/>
  <c r="D28" i="13"/>
  <c r="G25" i="13"/>
  <c r="B29" i="15"/>
  <c r="C29" i="15" s="1"/>
  <c r="D28" i="15"/>
  <c r="E25" i="13"/>
  <c r="F25" i="13" s="1"/>
  <c r="G26" i="13" l="1"/>
  <c r="D29" i="13"/>
  <c r="B30" i="13"/>
  <c r="C25" i="13"/>
  <c r="D29" i="15"/>
  <c r="B30" i="15"/>
  <c r="B31" i="13" l="1"/>
  <c r="D30" i="13"/>
  <c r="E26" i="13"/>
  <c r="F26" i="13" s="1"/>
  <c r="G27" i="13" s="1"/>
  <c r="D30" i="15"/>
  <c r="B31" i="15"/>
  <c r="C30" i="15"/>
  <c r="C26" i="13" l="1"/>
  <c r="E27" i="13" s="1"/>
  <c r="F27" i="13" s="1"/>
  <c r="G28" i="13" s="1"/>
  <c r="C31" i="15"/>
  <c r="B32" i="13"/>
  <c r="D31" i="13"/>
  <c r="B32" i="15"/>
  <c r="D31" i="15"/>
  <c r="D32" i="13" l="1"/>
  <c r="B33" i="13"/>
  <c r="C27" i="13"/>
  <c r="D32" i="15"/>
  <c r="B33" i="15"/>
  <c r="C32" i="15"/>
  <c r="C33" i="15" s="1"/>
  <c r="D33" i="13" l="1"/>
  <c r="B34" i="13"/>
  <c r="E28" i="13"/>
  <c r="F28" i="13" s="1"/>
  <c r="G29" i="13" s="1"/>
  <c r="D33" i="15"/>
  <c r="B34" i="15"/>
  <c r="B35" i="13" l="1"/>
  <c r="D34" i="13"/>
  <c r="B35" i="15"/>
  <c r="D34" i="15"/>
  <c r="C34" i="15"/>
  <c r="C35" i="15" s="1"/>
  <c r="C28" i="13"/>
  <c r="B36" i="13" l="1"/>
  <c r="D35" i="13"/>
  <c r="E29" i="13"/>
  <c r="F29" i="13" s="1"/>
  <c r="G30" i="13" s="1"/>
  <c r="D35" i="15"/>
  <c r="B36" i="15"/>
  <c r="B37" i="13" l="1"/>
  <c r="D36" i="13"/>
  <c r="D36" i="15"/>
  <c r="B37" i="15"/>
  <c r="C36" i="15"/>
  <c r="C37" i="15" s="1"/>
  <c r="C29" i="13"/>
  <c r="B38" i="13" l="1"/>
  <c r="D37" i="13"/>
  <c r="D37" i="15"/>
  <c r="B38" i="15"/>
  <c r="C38" i="15" s="1"/>
  <c r="E30" i="13"/>
  <c r="F30" i="13" s="1"/>
  <c r="G31" i="13" s="1"/>
  <c r="D38" i="13" l="1"/>
  <c r="B39" i="13"/>
  <c r="C30" i="13"/>
  <c r="D38" i="15"/>
  <c r="B39" i="15"/>
  <c r="B40" i="13" l="1"/>
  <c r="D39" i="13"/>
  <c r="D39" i="15"/>
  <c r="B40" i="15"/>
  <c r="E31" i="13"/>
  <c r="F31" i="13" s="1"/>
  <c r="G32" i="13" s="1"/>
  <c r="C39" i="15"/>
  <c r="C40" i="15" s="1"/>
  <c r="D40" i="13" l="1"/>
  <c r="B41" i="13"/>
  <c r="B41" i="15"/>
  <c r="D40" i="15"/>
  <c r="C31" i="13"/>
  <c r="D41" i="13" l="1"/>
  <c r="B42" i="13"/>
  <c r="E32" i="13"/>
  <c r="F32" i="13" s="1"/>
  <c r="G33" i="13" s="1"/>
  <c r="B42" i="15"/>
  <c r="D41" i="15"/>
  <c r="C41" i="15"/>
  <c r="D42" i="13" l="1"/>
  <c r="B43" i="13"/>
  <c r="C32" i="13"/>
  <c r="E33" i="13" s="1"/>
  <c r="F33" i="13" s="1"/>
  <c r="B43" i="15"/>
  <c r="D42" i="15"/>
  <c r="C42" i="15"/>
  <c r="C43" i="15" s="1"/>
  <c r="D43" i="13" l="1"/>
  <c r="B44" i="13"/>
  <c r="C33" i="13"/>
  <c r="E34" i="13" s="1"/>
  <c r="F34" i="13" s="1"/>
  <c r="C34" i="13" s="1"/>
  <c r="G34" i="13"/>
  <c r="D43" i="15"/>
  <c r="B44" i="15"/>
  <c r="B45" i="13" l="1"/>
  <c r="D44" i="13"/>
  <c r="G35" i="13"/>
  <c r="E35" i="13"/>
  <c r="F35" i="13" s="1"/>
  <c r="C35" i="13" s="1"/>
  <c r="D44" i="15"/>
  <c r="B45" i="15"/>
  <c r="C44" i="15"/>
  <c r="B46" i="13" l="1"/>
  <c r="D45" i="13"/>
  <c r="G36" i="13"/>
  <c r="C45" i="15"/>
  <c r="E36" i="13"/>
  <c r="F36" i="13" s="1"/>
  <c r="C36" i="13" s="1"/>
  <c r="D45" i="15"/>
  <c r="B46" i="15"/>
  <c r="D46" i="13" l="1"/>
  <c r="B47" i="13"/>
  <c r="E37" i="13"/>
  <c r="F37" i="13" s="1"/>
  <c r="C37" i="13" s="1"/>
  <c r="D46" i="15"/>
  <c r="B47" i="15"/>
  <c r="C46" i="15"/>
  <c r="G37" i="13"/>
  <c r="G38" i="13" s="1"/>
  <c r="D47" i="13" l="1"/>
  <c r="B48" i="13"/>
  <c r="E38" i="13"/>
  <c r="F38" i="13" s="1"/>
  <c r="C38" i="13" s="1"/>
  <c r="D47" i="15"/>
  <c r="B48" i="15"/>
  <c r="C47" i="15"/>
  <c r="D48" i="13" l="1"/>
  <c r="B49" i="13"/>
  <c r="G39" i="13"/>
  <c r="E39" i="13"/>
  <c r="F39" i="13" s="1"/>
  <c r="C39" i="13" s="1"/>
  <c r="D48" i="15"/>
  <c r="B49" i="15"/>
  <c r="C48" i="15"/>
  <c r="B50" i="13" l="1"/>
  <c r="D49" i="13"/>
  <c r="G40" i="13"/>
  <c r="E40" i="13"/>
  <c r="F40" i="13" s="1"/>
  <c r="C40" i="13" s="1"/>
  <c r="D49" i="15"/>
  <c r="B50" i="15"/>
  <c r="C49" i="15"/>
  <c r="C50" i="15" l="1"/>
  <c r="B51" i="13"/>
  <c r="D50" i="13"/>
  <c r="E41" i="13"/>
  <c r="F41" i="13" s="1"/>
  <c r="C41" i="13" s="1"/>
  <c r="B51" i="15"/>
  <c r="D50" i="15"/>
  <c r="G41" i="13"/>
  <c r="C51" i="15"/>
  <c r="B52" i="13" l="1"/>
  <c r="D51" i="13"/>
  <c r="G42" i="13"/>
  <c r="E42" i="13"/>
  <c r="F42" i="13" s="1"/>
  <c r="C42" i="13" s="1"/>
  <c r="B52" i="15"/>
  <c r="D51" i="15"/>
  <c r="B53" i="13" l="1"/>
  <c r="D52" i="13"/>
  <c r="G43" i="13"/>
  <c r="G44" i="13" s="1"/>
  <c r="E43" i="13"/>
  <c r="F43" i="13" s="1"/>
  <c r="C43" i="13" s="1"/>
  <c r="D52" i="15"/>
  <c r="B53" i="15"/>
  <c r="C52" i="15"/>
  <c r="C53" i="15" l="1"/>
  <c r="D53" i="13"/>
  <c r="B54" i="13"/>
  <c r="E44" i="13"/>
  <c r="F44" i="13" s="1"/>
  <c r="C44" i="13" s="1"/>
  <c r="D53" i="15"/>
  <c r="B54" i="15"/>
  <c r="B55" i="13" l="1"/>
  <c r="D54" i="13"/>
  <c r="G45" i="13"/>
  <c r="E45" i="13"/>
  <c r="F45" i="13" s="1"/>
  <c r="C45" i="13" s="1"/>
  <c r="D54" i="15"/>
  <c r="B55" i="15"/>
  <c r="C54" i="15"/>
  <c r="C55" i="15" l="1"/>
  <c r="B56" i="13"/>
  <c r="D55" i="13"/>
  <c r="G46" i="13"/>
  <c r="E46" i="13"/>
  <c r="F46" i="13" s="1"/>
  <c r="C46" i="13" s="1"/>
  <c r="D55" i="15"/>
  <c r="B56" i="15"/>
  <c r="C56" i="15" s="1"/>
  <c r="D56" i="13" l="1"/>
  <c r="B57" i="13"/>
  <c r="G47" i="13"/>
  <c r="E47" i="13"/>
  <c r="F47" i="13" s="1"/>
  <c r="C47" i="13" s="1"/>
  <c r="D56" i="15"/>
  <c r="B57" i="15"/>
  <c r="B58" i="13" l="1"/>
  <c r="D57" i="13"/>
  <c r="G48" i="13"/>
  <c r="E48" i="13"/>
  <c r="F48" i="13" s="1"/>
  <c r="C48" i="13" s="1"/>
  <c r="D57" i="15"/>
  <c r="B58" i="15"/>
  <c r="C57" i="15"/>
  <c r="D58" i="13" l="1"/>
  <c r="B59" i="13"/>
  <c r="G49" i="13"/>
  <c r="C58" i="15"/>
  <c r="E49" i="13"/>
  <c r="F49" i="13" s="1"/>
  <c r="D58" i="15"/>
  <c r="B59" i="15"/>
  <c r="D59" i="13" l="1"/>
  <c r="B60" i="13"/>
  <c r="D60" i="13" s="1"/>
  <c r="G50" i="13"/>
  <c r="C49" i="13"/>
  <c r="E50" i="13" s="1"/>
  <c r="F50" i="13" s="1"/>
  <c r="C59" i="15"/>
  <c r="B60" i="15"/>
  <c r="D60" i="15" s="1"/>
  <c r="D59" i="15"/>
  <c r="G51" i="13" l="1"/>
  <c r="C50" i="13"/>
  <c r="C60" i="15"/>
  <c r="C6" i="15" s="1"/>
  <c r="E60" i="15" s="1"/>
  <c r="F60" i="15" s="1"/>
  <c r="E59" i="15" l="1"/>
  <c r="F59" i="15" s="1"/>
  <c r="E51" i="13"/>
  <c r="F51" i="13" s="1"/>
  <c r="G52" i="13" s="1"/>
  <c r="E11" i="15"/>
  <c r="F11" i="15" s="1"/>
  <c r="G11" i="15" s="1"/>
  <c r="E12" i="15"/>
  <c r="F12" i="15" s="1"/>
  <c r="E13" i="15"/>
  <c r="F13" i="15" s="1"/>
  <c r="E14" i="15"/>
  <c r="F14" i="15" s="1"/>
  <c r="E15" i="15"/>
  <c r="F15" i="15" s="1"/>
  <c r="E16" i="15"/>
  <c r="F16" i="15" s="1"/>
  <c r="E17" i="15"/>
  <c r="F17" i="15" s="1"/>
  <c r="E18" i="15"/>
  <c r="F18" i="15" s="1"/>
  <c r="E19" i="15"/>
  <c r="F19" i="15" s="1"/>
  <c r="E20" i="15"/>
  <c r="F20" i="15" s="1"/>
  <c r="E21" i="15"/>
  <c r="F21" i="15" s="1"/>
  <c r="E22" i="15"/>
  <c r="F22" i="15" s="1"/>
  <c r="E23" i="15"/>
  <c r="F23" i="15" s="1"/>
  <c r="E24" i="15"/>
  <c r="F24" i="15" s="1"/>
  <c r="E25" i="15"/>
  <c r="F25" i="15" s="1"/>
  <c r="E26" i="15"/>
  <c r="F26" i="15" s="1"/>
  <c r="E27" i="15"/>
  <c r="F27" i="15" s="1"/>
  <c r="E28" i="15"/>
  <c r="F28" i="15" s="1"/>
  <c r="E29" i="15"/>
  <c r="F29" i="15" s="1"/>
  <c r="E30" i="15"/>
  <c r="F30" i="15" s="1"/>
  <c r="E31" i="15"/>
  <c r="F31" i="15" s="1"/>
  <c r="E32" i="15"/>
  <c r="F32" i="15" s="1"/>
  <c r="E33" i="15"/>
  <c r="F33" i="15" s="1"/>
  <c r="E34" i="15"/>
  <c r="F34" i="15" s="1"/>
  <c r="E35" i="15"/>
  <c r="F35" i="15" s="1"/>
  <c r="E36" i="15"/>
  <c r="F36" i="15" s="1"/>
  <c r="E37" i="15"/>
  <c r="F37" i="15" s="1"/>
  <c r="E38" i="15"/>
  <c r="F38" i="15" s="1"/>
  <c r="E39" i="15"/>
  <c r="F39" i="15" s="1"/>
  <c r="E40" i="15"/>
  <c r="F40" i="15" s="1"/>
  <c r="E41" i="15"/>
  <c r="F41" i="15" s="1"/>
  <c r="E42" i="15"/>
  <c r="F42" i="15" s="1"/>
  <c r="E43" i="15"/>
  <c r="F43" i="15" s="1"/>
  <c r="E44" i="15"/>
  <c r="F44" i="15" s="1"/>
  <c r="E45" i="15"/>
  <c r="F45" i="15" s="1"/>
  <c r="E46" i="15"/>
  <c r="F46" i="15" s="1"/>
  <c r="E47" i="15"/>
  <c r="F47" i="15" s="1"/>
  <c r="E48" i="15"/>
  <c r="F48" i="15" s="1"/>
  <c r="E49" i="15"/>
  <c r="F49" i="15" s="1"/>
  <c r="E50" i="15"/>
  <c r="F50" i="15" s="1"/>
  <c r="E51" i="15"/>
  <c r="F51" i="15" s="1"/>
  <c r="E52" i="15"/>
  <c r="F52" i="15" s="1"/>
  <c r="E53" i="15"/>
  <c r="F53" i="15" s="1"/>
  <c r="E54" i="15"/>
  <c r="F54" i="15" s="1"/>
  <c r="E55" i="15"/>
  <c r="F55" i="15" s="1"/>
  <c r="E56" i="15"/>
  <c r="F56" i="15" s="1"/>
  <c r="E57" i="15"/>
  <c r="F57" i="15" s="1"/>
  <c r="E58" i="15"/>
  <c r="F58" i="15" s="1"/>
  <c r="G12" i="15" l="1"/>
  <c r="G13" i="15" s="1"/>
  <c r="G14" i="15" s="1"/>
  <c r="G15" i="15" s="1"/>
  <c r="G16" i="15" s="1"/>
  <c r="G17" i="15" s="1"/>
  <c r="G18" i="15" s="1"/>
  <c r="G19" i="15" s="1"/>
  <c r="G20" i="15" s="1"/>
  <c r="G21" i="15" s="1"/>
  <c r="G22" i="15" s="1"/>
  <c r="G23" i="15" s="1"/>
  <c r="G24" i="15" s="1"/>
  <c r="G25" i="15" s="1"/>
  <c r="G26" i="15" s="1"/>
  <c r="G27" i="15" s="1"/>
  <c r="G28" i="15" s="1"/>
  <c r="G29" i="15" s="1"/>
  <c r="G30" i="15" s="1"/>
  <c r="G31" i="15" s="1"/>
  <c r="G32" i="15" s="1"/>
  <c r="G33" i="15" s="1"/>
  <c r="G34" i="15" s="1"/>
  <c r="G35" i="15" s="1"/>
  <c r="G36" i="15" s="1"/>
  <c r="G37" i="15" s="1"/>
  <c r="G38" i="15" s="1"/>
  <c r="G39" i="15" s="1"/>
  <c r="G40" i="15" s="1"/>
  <c r="G41" i="15" s="1"/>
  <c r="G42" i="15" s="1"/>
  <c r="G43" i="15" s="1"/>
  <c r="G44" i="15" s="1"/>
  <c r="G45" i="15" s="1"/>
  <c r="G46" i="15" s="1"/>
  <c r="G47" i="15" s="1"/>
  <c r="G48" i="15" s="1"/>
  <c r="G49" i="15" s="1"/>
  <c r="G50" i="15" s="1"/>
  <c r="G51" i="15" s="1"/>
  <c r="G52" i="15" s="1"/>
  <c r="G53" i="15" s="1"/>
  <c r="G54" i="15" s="1"/>
  <c r="G55" i="15" s="1"/>
  <c r="G56" i="15" s="1"/>
  <c r="G57" i="15" s="1"/>
  <c r="G58" i="15" s="1"/>
  <c r="G59" i="15" s="1"/>
  <c r="G60" i="15" s="1"/>
  <c r="C51" i="13"/>
  <c r="E52" i="13" l="1"/>
  <c r="F52" i="13" s="1"/>
  <c r="G53" i="13" s="1"/>
  <c r="G4" i="15"/>
  <c r="G5" i="15" s="1"/>
  <c r="J10" i="15" s="1"/>
  <c r="C52" i="13" l="1"/>
  <c r="E53" i="13" s="1"/>
  <c r="F53" i="13" s="1"/>
  <c r="G54" i="13" s="1"/>
  <c r="C53" i="13" l="1"/>
  <c r="E54" i="13" l="1"/>
  <c r="F54" i="13" s="1"/>
  <c r="G55" i="13" s="1"/>
  <c r="C54" i="13" l="1"/>
  <c r="E55" i="13" l="1"/>
  <c r="F55" i="13" s="1"/>
  <c r="G56" i="13" s="1"/>
  <c r="C55" i="13" l="1"/>
  <c r="E56" i="13" l="1"/>
  <c r="F56" i="13" s="1"/>
  <c r="G57" i="13" s="1"/>
  <c r="C56" i="13" l="1"/>
  <c r="E57" i="13" l="1"/>
  <c r="F57" i="13" s="1"/>
  <c r="G58" i="13" s="1"/>
  <c r="C57" i="13" l="1"/>
  <c r="E58" i="13" l="1"/>
  <c r="F58" i="13" s="1"/>
  <c r="G59" i="13" s="1"/>
  <c r="C58" i="13" l="1"/>
  <c r="E59" i="13" l="1"/>
  <c r="F59" i="13" s="1"/>
  <c r="G60" i="13" s="1"/>
  <c r="C59" i="13" l="1"/>
  <c r="E60" i="13" l="1"/>
  <c r="F60" i="13" s="1"/>
  <c r="C60" i="13" s="1"/>
  <c r="G4" i="13" s="1"/>
  <c r="G5" i="13" s="1"/>
  <c r="J5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Christian.Schuh@FH-Weihenstephan.de</author>
  </authors>
  <commentList>
    <comment ref="E3" authorId="0" shapeId="0" xr:uid="{00000000-0006-0000-0200-000001000000}">
      <text>
        <r>
          <rPr>
            <sz val="8"/>
            <color indexed="81"/>
            <rFont val="Tahoma"/>
            <family val="2"/>
          </rPr>
          <t>Eingabezelle:
Währung</t>
        </r>
      </text>
    </comment>
    <comment ref="E6" authorId="0" shapeId="0" xr:uid="{00000000-0006-0000-0200-000002000000}">
      <text>
        <r>
          <rPr>
            <sz val="8"/>
            <color indexed="81"/>
            <rFont val="Tahoma"/>
            <family val="2"/>
          </rPr>
          <t>Eingabezelle:
Leistungs-Einheit</t>
        </r>
      </text>
    </comment>
    <comment ref="D9" authorId="0" shapeId="0" xr:uid="{00000000-0006-0000-0200-000003000000}">
      <text>
        <r>
          <rPr>
            <sz val="8"/>
            <color indexed="81"/>
            <rFont val="Tahoma"/>
            <family val="2"/>
          </rPr>
          <t>Eingabezelle:
Schrittweite der Spalten</t>
        </r>
      </text>
    </comment>
    <comment ref="F9" authorId="0" shapeId="0" xr:uid="{00000000-0006-0000-0200-000004000000}">
      <text>
        <r>
          <rPr>
            <sz val="8"/>
            <color indexed="81"/>
            <rFont val="Tahoma"/>
            <family val="2"/>
          </rPr>
          <t>Eingabezelle:
Start-Wert</t>
        </r>
      </text>
    </comment>
    <comment ref="E11" authorId="0" shapeId="0" xr:uid="{00000000-0006-0000-0200-000005000000}">
      <text>
        <r>
          <rPr>
            <sz val="8"/>
            <color indexed="81"/>
            <rFont val="Tahoma"/>
            <family val="2"/>
          </rPr>
          <t>Korrekturfaktor  =  Auslastung in % "hoch" Exponent
Maschinen mit niedrigem Verschleiß 
(Schlepper, Selbstfahrer, Transport)
=&gt; Exponent = 0,5 
Maschinen mit hohem Verschleiß 
(Bodenbearbeitung, Ernte, etc.)
=&gt; Exponent = 0,35</t>
        </r>
      </text>
    </comment>
    <comment ref="D18" authorId="0" shapeId="0" xr:uid="{00000000-0006-0000-0200-000006000000}">
      <text>
        <r>
          <rPr>
            <sz val="8"/>
            <color indexed="81"/>
            <rFont val="Tahoma"/>
            <family val="2"/>
          </rPr>
          <t>Falls nicht bekannt:
für Hinterradtraktoren ca. 0,60% (0,4 - 0,7%) von A 
für Allradtraktoren ca. 0,45% (0,3 - 0,6%) von A
für Selbstfahrer (auch MD) ca. 0,25% (0,2 - 0,3%) von A</t>
        </r>
      </text>
    </comment>
    <comment ref="D20" authorId="0" shapeId="0" xr:uid="{00000000-0006-0000-0200-000007000000}">
      <text>
        <r>
          <rPr>
            <sz val="8"/>
            <color indexed="81"/>
            <rFont val="Tahoma"/>
            <family val="2"/>
          </rPr>
          <t>Ansatz der jährliche Kosten alternativ nach: 
a) Stellflächenbedarf: 18 - 35 Euro je m²
b) pauschal 0,5 bis 1% von A</t>
        </r>
      </text>
    </comment>
    <comment ref="D27" authorId="0" shapeId="0" xr:uid="{00000000-0006-0000-0200-000008000000}">
      <text>
        <r>
          <rPr>
            <sz val="8"/>
            <color indexed="81"/>
            <rFont val="Tahoma"/>
            <family val="2"/>
          </rPr>
          <t>Eingabezelle 
für die Reparaturkosten 
bei voller Auslastung 
(ohne Korrekturen)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Christian.Schuh@FH-Weihenstephan.de</author>
  </authors>
  <commentList>
    <comment ref="E3" authorId="0" shapeId="0" xr:uid="{00000000-0006-0000-0300-000001000000}">
      <text>
        <r>
          <rPr>
            <sz val="8"/>
            <color indexed="81"/>
            <rFont val="Tahoma"/>
            <family val="2"/>
          </rPr>
          <t>Eingabezelle:
Währung</t>
        </r>
      </text>
    </comment>
    <comment ref="E6" authorId="0" shapeId="0" xr:uid="{00000000-0006-0000-0300-000002000000}">
      <text>
        <r>
          <rPr>
            <sz val="8"/>
            <color indexed="81"/>
            <rFont val="Tahoma"/>
            <family val="2"/>
          </rPr>
          <t>Eingabezelle:
Leistungs-Einheit</t>
        </r>
      </text>
    </comment>
    <comment ref="D9" authorId="0" shapeId="0" xr:uid="{00000000-0006-0000-0300-000003000000}">
      <text>
        <r>
          <rPr>
            <sz val="8"/>
            <color indexed="81"/>
            <rFont val="Tahoma"/>
            <family val="2"/>
          </rPr>
          <t>Eingabezelle:
Schrittweite der Spalten</t>
        </r>
      </text>
    </comment>
    <comment ref="F9" authorId="0" shapeId="0" xr:uid="{00000000-0006-0000-0300-000004000000}">
      <text>
        <r>
          <rPr>
            <sz val="8"/>
            <color indexed="81"/>
            <rFont val="Tahoma"/>
            <family val="2"/>
          </rPr>
          <t>Eingabezelle:
Start-Wert</t>
        </r>
      </text>
    </comment>
    <comment ref="E11" authorId="0" shapeId="0" xr:uid="{00000000-0006-0000-0300-000005000000}">
      <text>
        <r>
          <rPr>
            <sz val="8"/>
            <color indexed="81"/>
            <rFont val="Tahoma"/>
            <family val="2"/>
          </rPr>
          <t>Korrekturfaktor  =  Auslastung in % "hoch" Exponent
Maschinen mit niedrigem Verschleiß 
(Schlepper, Selbstfahrer, Transport)
=&gt; Exponent = 0,5 
Maschinen mit hohem Verschleiß 
(Bodenbearbeitung, Ernte, etc.)
=&gt; Exponent = 0,35</t>
        </r>
      </text>
    </comment>
    <comment ref="D18" authorId="0" shapeId="0" xr:uid="{00000000-0006-0000-0300-000006000000}">
      <text>
        <r>
          <rPr>
            <sz val="8"/>
            <color indexed="81"/>
            <rFont val="Tahoma"/>
            <family val="2"/>
          </rPr>
          <t>Falls nicht bekannt:
für Hinterradtraktoren ca. 0,60% (0,4 - 0,7%) von A 
für Allradtraktoren ca. 0,45% (0,3 - 0,6%) von A
für Selbstfahrer (auch MD) ca. 0,25% (0,2 - 0,3%) von A</t>
        </r>
      </text>
    </comment>
    <comment ref="D20" authorId="0" shapeId="0" xr:uid="{00000000-0006-0000-0300-000007000000}">
      <text>
        <r>
          <rPr>
            <sz val="8"/>
            <color indexed="81"/>
            <rFont val="Tahoma"/>
            <family val="2"/>
          </rPr>
          <t>Ansatz der jährliche Kosten alternativ nach: 
a) Stellflächenbedarf: 18 - 35 Euro je m²
b) pauschal 0,5 bis 1% von A</t>
        </r>
      </text>
    </comment>
    <comment ref="D27" authorId="0" shapeId="0" xr:uid="{00000000-0006-0000-0300-000008000000}">
      <text>
        <r>
          <rPr>
            <sz val="8"/>
            <color indexed="81"/>
            <rFont val="Tahoma"/>
            <family val="2"/>
          </rPr>
          <t>Eingabezelle 
für die Reparaturkosten 
bei voller Auslastung 
(ohne Korrekturen)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Christian.Schuh@FH-Weihenstephan.de</author>
  </authors>
  <commentList>
    <comment ref="E3" authorId="0" shapeId="0" xr:uid="{00000000-0006-0000-0400-000001000000}">
      <text>
        <r>
          <rPr>
            <sz val="8"/>
            <color indexed="81"/>
            <rFont val="Tahoma"/>
            <family val="2"/>
          </rPr>
          <t>Eingabezelle:
Währung</t>
        </r>
      </text>
    </comment>
    <comment ref="E6" authorId="0" shapeId="0" xr:uid="{00000000-0006-0000-0400-000002000000}">
      <text>
        <r>
          <rPr>
            <sz val="8"/>
            <color indexed="81"/>
            <rFont val="Tahoma"/>
            <family val="2"/>
          </rPr>
          <t>Eingabezelle:
Leistungs-Einheit</t>
        </r>
      </text>
    </comment>
    <comment ref="D9" authorId="0" shapeId="0" xr:uid="{00000000-0006-0000-0400-000003000000}">
      <text>
        <r>
          <rPr>
            <sz val="8"/>
            <color indexed="81"/>
            <rFont val="Tahoma"/>
            <family val="2"/>
          </rPr>
          <t>Eingabezelle:
Schrittweite der Spalten</t>
        </r>
      </text>
    </comment>
    <comment ref="F9" authorId="0" shapeId="0" xr:uid="{00000000-0006-0000-0400-000004000000}">
      <text>
        <r>
          <rPr>
            <sz val="8"/>
            <color indexed="81"/>
            <rFont val="Tahoma"/>
            <family val="2"/>
          </rPr>
          <t>Eingabezelle:
Start-Wert</t>
        </r>
      </text>
    </comment>
    <comment ref="E11" authorId="0" shapeId="0" xr:uid="{00000000-0006-0000-0400-000005000000}">
      <text>
        <r>
          <rPr>
            <sz val="8"/>
            <color indexed="81"/>
            <rFont val="Tahoma"/>
            <family val="2"/>
          </rPr>
          <t>Korrekturfaktor  =  Auslastung in % "hoch" Exponent
Maschinen mit niedrigem Verschleiß 
(Schlepper, Selbstfahrer, Transport)
=&gt; Exponent = 0,5 
Maschinen mit hohem Verschleiß 
(Bodenbearbeitung, Ernte, etc.)
=&gt; Exponent = 0,35</t>
        </r>
      </text>
    </comment>
    <comment ref="D18" authorId="0" shapeId="0" xr:uid="{00000000-0006-0000-0400-000006000000}">
      <text>
        <r>
          <rPr>
            <sz val="8"/>
            <color indexed="81"/>
            <rFont val="Tahoma"/>
            <family val="2"/>
          </rPr>
          <t>Falls nicht bekannt:
für Hinterradtraktoren ca. 0,60% (0,4 - 0,7%) von A 
für Allradtraktoren ca. 0,45% (0,3 - 0,6%) von A
für Selbstfahrer (auch MD) ca. 0,25% (0,2 - 0,3%) von A</t>
        </r>
      </text>
    </comment>
    <comment ref="D20" authorId="0" shapeId="0" xr:uid="{00000000-0006-0000-0400-000007000000}">
      <text>
        <r>
          <rPr>
            <sz val="8"/>
            <color indexed="81"/>
            <rFont val="Tahoma"/>
            <family val="2"/>
          </rPr>
          <t>Ansatz der jährliche Kosten alternativ nach: 
a) Stellflächenbedarf: 18 - 35 Euro je m²
b) pauschal 0,5 bis 1% von A</t>
        </r>
      </text>
    </comment>
    <comment ref="D27" authorId="0" shapeId="0" xr:uid="{00000000-0006-0000-0400-000008000000}">
      <text>
        <r>
          <rPr>
            <sz val="8"/>
            <color indexed="81"/>
            <rFont val="Tahoma"/>
            <family val="2"/>
          </rPr>
          <t>Eingabezelle 
für die Reparaturkosten 
bei voller Auslastung 
(ohne Korrekturen)</t>
        </r>
      </text>
    </comment>
  </commentList>
</comments>
</file>

<file path=xl/sharedStrings.xml><?xml version="1.0" encoding="utf-8"?>
<sst xmlns="http://schemas.openxmlformats.org/spreadsheetml/2006/main" count="3522" uniqueCount="1628">
  <si>
    <t>(nutzungsunabhängig) oder variabel (nutzungsabhängig) sein. Dies resultiert daraus, dass die</t>
  </si>
  <si>
    <t>In der Bundesrepublik Deutschland sind landwirtschaftlich genutzte Fahrzeuge von der</t>
  </si>
  <si>
    <t>gelten stets als Durchschnitt für den gesamten "Nutzungs- und Lebenszeitraum einer Maschine", also</t>
  </si>
  <si>
    <t>10.000 Einsatzstunden auch wirklich erreicht beträgt der Reparaturkosten-Richtwert</t>
  </si>
  <si>
    <r>
      <t xml:space="preserve">In der grafischen Darstellung wird der </t>
    </r>
    <r>
      <rPr>
        <u/>
        <sz val="10"/>
        <rFont val="Arial"/>
        <family val="2"/>
      </rPr>
      <t>nichtlineare</t>
    </r>
    <r>
      <rPr>
        <sz val="10"/>
        <rFont val="Arial"/>
        <family val="2"/>
      </rPr>
      <t xml:space="preserve"> Verlauf der Reparaturkosten in Abhängigkeit von </t>
    </r>
  </si>
  <si>
    <r>
      <t xml:space="preserve">Für </t>
    </r>
    <r>
      <rPr>
        <u/>
        <sz val="10"/>
        <rFont val="Arial"/>
        <family val="2"/>
      </rPr>
      <t>Neu</t>
    </r>
    <r>
      <rPr>
        <sz val="10"/>
        <rFont val="Arial"/>
        <family val="2"/>
      </rPr>
      <t>maschinen folgen die Trendlinien einem Verlauf der näherungsweise folgenden Funktionen</t>
    </r>
  </si>
  <si>
    <t>Für einfache Wirtschaftlichkeitsrechnungen ist die Gliederung nach DIN 276 oft zu detailliert. Sie bietet</t>
  </si>
  <si>
    <t>A ohne Tust</t>
  </si>
  <si>
    <t>AfA-Satz:</t>
  </si>
  <si>
    <t>Anhang</t>
  </si>
  <si>
    <t>(Arbeitsleistung 1 ha / h)</t>
  </si>
  <si>
    <t>(Arbeitsleistung 1,16 h / ha)</t>
  </si>
  <si>
    <t>Mittelfristige Investitionen:</t>
  </si>
  <si>
    <t>Kurzfristige Investitionen:</t>
  </si>
  <si>
    <t>Anschaffungs-/Herstellungskosten  ×   1 bis 3%</t>
  </si>
  <si>
    <t>der Anschaffungs-/Herstellungskosten</t>
  </si>
  <si>
    <t>Anschaffungs-/Herstellungskosten  ×   0,2%</t>
  </si>
  <si>
    <r>
      <t xml:space="preserve">Die jährlich durchschnittlichen Kosten für </t>
    </r>
    <r>
      <rPr>
        <u/>
        <sz val="10"/>
        <rFont val="Arial"/>
        <family val="2"/>
      </rPr>
      <t>Unterhalt / Reparatur</t>
    </r>
    <r>
      <rPr>
        <sz val="10"/>
        <rFont val="Arial"/>
        <family val="2"/>
      </rPr>
      <t xml:space="preserve"> von Gebäuden (mit Einrichtung) werden, </t>
    </r>
  </si>
  <si>
    <t>wenngleich ein Teil sicher variabel (nutzungsabhängig) ist, in der Praxis vereinfachend pauschal mit</t>
  </si>
  <si>
    <t>einem Prozentsatz von den Anschaffungs-/Herstellungskosten geschätzt und zusammen mit den</t>
  </si>
  <si>
    <t>anderen Kostenpositionen komplett als nutzungsunabhängige (feste) Kosten betrachtet.</t>
  </si>
  <si>
    <t>Anschaffungs-/Herstellungskosten veranschlagt.</t>
  </si>
  <si>
    <r>
      <t xml:space="preserve">Die jährlichen Kosten für die </t>
    </r>
    <r>
      <rPr>
        <u/>
        <sz val="10"/>
        <rFont val="Arial"/>
        <family val="2"/>
      </rPr>
      <t>Versicherung</t>
    </r>
    <r>
      <rPr>
        <sz val="10"/>
        <rFont val="Arial"/>
        <family val="2"/>
      </rPr>
      <t xml:space="preserve"> von Gebäuden (mit Einrichtung) werden mit ca. 0,2% der</t>
    </r>
  </si>
  <si>
    <t>Beispiel einer Gebäudekosten-Berechnung für einen Milchviehstall</t>
  </si>
  <si>
    <t>mittelfristig nutzbare Bauteile:</t>
  </si>
  <si>
    <t>langfristig nutzbare Bauteile:</t>
  </si>
  <si>
    <t>kurzfristig nutzbare Bauteile:</t>
  </si>
  <si>
    <t>€</t>
  </si>
  <si>
    <t>AfA / J.</t>
  </si>
  <si>
    <t>J.    =</t>
  </si>
  <si>
    <t>€ / Jahr</t>
  </si>
  <si>
    <t>Unterhalt / Reparatur</t>
  </si>
  <si>
    <t>Gebäude insgesamt:</t>
  </si>
  <si>
    <t>Unterhaltskosten</t>
  </si>
  <si>
    <t>Investitionsbedarf:</t>
  </si>
  <si>
    <t>€ / Stallplatz</t>
  </si>
  <si>
    <t>Beschreibung:</t>
  </si>
  <si>
    <t>USt</t>
  </si>
  <si>
    <t>Jährl. Kosten</t>
  </si>
  <si>
    <t>netto</t>
  </si>
  <si>
    <t>brutto</t>
  </si>
  <si>
    <t>€/m²</t>
  </si>
  <si>
    <t>Bei der Bestimmung des Investitionsbedarfs für Gebäude greift man in der Planungsphase - soweit noch</t>
  </si>
  <si>
    <t>keine konkreten Kostenvoranschläge vorliegen - häufig auf Normdaten zurück.</t>
  </si>
  <si>
    <t>funktionsbezogene Gliederung nach Kostenblöcken</t>
  </si>
  <si>
    <t>planungsorientierte Gliederung in drei Ebenen (DIN 276)</t>
  </si>
  <si>
    <t>Für Ställe bietet das KTBL unter www.ktbl.de zwei unterschiedliche Kostengliederungen an:</t>
  </si>
  <si>
    <t xml:space="preserve">Kostenblöcke sind funktionsbezogene Gebäudeteile oder Bauteilgruppen. Es wird unterschieden: </t>
  </si>
  <si>
    <t>Kostenblockdaten sind Orientierungswerte zur überschlägigen Ermittlung des Investitionsbedarfs und</t>
  </si>
  <si>
    <t>der baubedingten Jahreskosten sowie zu Kostenvergleichen alternativer Lösungen. Die Anwendung</t>
  </si>
  <si>
    <t xml:space="preserve">erfolgt in der Vorplanungsphase, vorwiegend durch Wirtschaftsberater, Bauberater und Landwirte. </t>
  </si>
  <si>
    <t>Stall</t>
  </si>
  <si>
    <t>Mist</t>
  </si>
  <si>
    <t>Futter</t>
  </si>
  <si>
    <t>Tierprodukt</t>
  </si>
  <si>
    <t>Nebenanlage</t>
  </si>
  <si>
    <t>Baukonstrukt. u. techn. Anlagen, soweit sie nicht anderen Kostenblöcken zuzuordnen sind</t>
  </si>
  <si>
    <t>Spezielle Baukonstrukt. u. techn. Anlagen wie Hygieneschleusen, Verladerampe etc.</t>
  </si>
  <si>
    <t>Baukonstrukt. u. techn. Anlagen zum Transport, Homogenisieren und Lagerung von Mist, Jauche, Gülle</t>
  </si>
  <si>
    <t>Dieser Kostenblock umfasst neben den Bauteilen d. Bauwerks ggf. auch d. betroffenen Außenanlagen.</t>
  </si>
  <si>
    <t>Beispiel:</t>
  </si>
  <si>
    <t>ha</t>
  </si>
  <si>
    <t>Anschaffungskosten</t>
  </si>
  <si>
    <t>=</t>
  </si>
  <si>
    <t>h</t>
  </si>
  <si>
    <t>Jahre</t>
  </si>
  <si>
    <t>Die Wartung von Maschinen erfordert in erster Linie Arbeitszeit. Der Materialaufwand ist gering und wird</t>
  </si>
  <si>
    <t>meistens den Betriebsstoffkosten zugerechnet. Da die Wartung zum weit aus größten Teil zu Zeiten</t>
  </si>
  <si>
    <t xml:space="preserve">berechnung dar. </t>
  </si>
  <si>
    <t>Die Festlegung der Reparaturkosten stellt ein beträchtliches Problem bei der Maschinenkosten-</t>
  </si>
  <si>
    <t>Zudem werden, wenn man auf eigene Erfahrungswerte zurückgreift, die Nutzungskosten für selbst</t>
  </si>
  <si>
    <t>durchgeführte Reparaturarbeiten (Lohnansatz) meist völlig außer acht gelassen.</t>
  </si>
  <si>
    <t>In der Bundesrepublik Deutschland gibt das KTBL Richtwerte für die Reparaturkosten von Maschinen he-</t>
  </si>
  <si>
    <t>Als überwiegende Datenquelle für diese Angaben dienen Meldungen landwirtschaftlicher Unternehmen</t>
  </si>
  <si>
    <t xml:space="preserve">und Dienstleistungsbetriebe über tatsächlich angefallene Reparaturen und Instandsetzungen. </t>
  </si>
  <si>
    <t>Alter und Nutzung der Maschine,</t>
  </si>
  <si>
    <t>Pflege und vorbeugende Instandhaltung,</t>
  </si>
  <si>
    <t>Aufbau und Funktionen einzelner Aggregate, Anteil an Verschleißteilen.</t>
  </si>
  <si>
    <t>Folgende Faktoren spielen bei der Bemessung der Reparaturkosten eine maßgebende Rolle:</t>
  </si>
  <si>
    <t>€/J</t>
  </si>
  <si>
    <t>€/h</t>
  </si>
  <si>
    <t>b) Verschleiß der Maschine durch die Nutzung.</t>
  </si>
  <si>
    <t>Eine Maschine hat z.B. einen Leistungsvorrat von 10.000 Stunden und eine technische bzw.</t>
  </si>
  <si>
    <t>materialbedingte Nutzungsdauer von maximal 10 Jahren. Wird die Maschine wenig genutzt, d.h.</t>
  </si>
  <si>
    <t>ist. Übersteigt jedoch die jährliche Nutzung die Schwelle von 10.000 h : 10 Jahre = 1000 h/Jahr, dann</t>
  </si>
  <si>
    <t>Maschinenkosten</t>
  </si>
  <si>
    <t>feste Kosten</t>
  </si>
  <si>
    <t>bedingt variable Kosten</t>
  </si>
  <si>
    <t>variable Kosten</t>
  </si>
  <si>
    <t>Abschreibungen</t>
  </si>
  <si>
    <t>Wartung</t>
  </si>
  <si>
    <t>Unterbringung</t>
  </si>
  <si>
    <t xml:space="preserve"> </t>
  </si>
  <si>
    <t>Reparatur</t>
  </si>
  <si>
    <t>Versicherung</t>
  </si>
  <si>
    <t>Abschreibung</t>
  </si>
  <si>
    <t xml:space="preserve">Lineare Abschreibung  </t>
  </si>
  <si>
    <t>Berechnung:</t>
  </si>
  <si>
    <t xml:space="preserve">         (Rest-)Nutzungsdauer </t>
  </si>
  <si>
    <t xml:space="preserve"> Beurteilung:</t>
  </si>
  <si>
    <t>Ÿ</t>
  </si>
  <si>
    <t>Einfach zu kalkulieren</t>
  </si>
  <si>
    <t>2.1</t>
  </si>
  <si>
    <t>Nutzungsdauer von Maschinen durch zwei Ursachen begrenzt wird:</t>
  </si>
  <si>
    <t>Bei den Maschinenkosten ist eine Besonderheit zu beachten: die Abschreibungen können fest</t>
  </si>
  <si>
    <r>
      <t>Entsorgungskosten</t>
    </r>
    <r>
      <rPr>
        <sz val="10"/>
        <rFont val="Arial"/>
        <family val="2"/>
      </rPr>
      <t xml:space="preserve"> am Ende der Nutzung wären bei der AfA-Berechnung auf die Anschaffungskosten</t>
    </r>
  </si>
  <si>
    <t>aufzuschlagen, kommen aber i.d.R. allenfalls bei fest eingebauten Betriebsvorrichtungen vor und werden</t>
  </si>
  <si>
    <t>in der Praxis meist vernachlässigt.</t>
  </si>
  <si>
    <t>wirtschaftlichen Gründen) bedeutend unterhalb der üblichen/möglichen Nutzungsdauer liegt und wenn</t>
  </si>
  <si>
    <t>die Maschine nach der Nutzung auch tatsächlich noch einen Wiederverkaufswert erwarten lässt.</t>
  </si>
  <si>
    <r>
      <t xml:space="preserve">Bei der Festlegung der </t>
    </r>
    <r>
      <rPr>
        <u/>
        <sz val="10"/>
        <rFont val="Arial"/>
        <family val="2"/>
      </rPr>
      <t>Nutzungsdauer</t>
    </r>
    <r>
      <rPr>
        <sz val="10"/>
        <rFont val="Arial"/>
        <family val="2"/>
      </rPr>
      <t xml:space="preserve"> ist zu beachten, dass nicht die mögliche technische Lebens-</t>
    </r>
  </si>
  <si>
    <t>Es macht daher in den seltensten Fällen Sinn, eine Maschine über mehr als 15 Jahre abzuschreiben,</t>
  </si>
  <si>
    <t>auch wenn viele Maschinen mit geringem Einsatzumfang auch nach 20 und mehr Jahren noch im</t>
  </si>
  <si>
    <t>dauer relevant für die Berechnung der Abschreibung ist, sondern die erwartete wirtschaftliche Nutzungs-</t>
  </si>
  <si>
    <t>dauer: also der Zeitraum, in dem das ausgegebene Geld wieder erwirtschaftet sein soll.</t>
  </si>
  <si>
    <t>Einsatz sind.</t>
  </si>
  <si>
    <t>Für weitere Details vergleiche Punkt</t>
  </si>
  <si>
    <t>2.2.1</t>
  </si>
  <si>
    <t>Nutzungsdauer nach Zeit (Jahre)</t>
  </si>
  <si>
    <t>––––-</t>
  </si>
  <si>
    <t>Die Abschreibungsschwelle</t>
  </si>
  <si>
    <t>2.2</t>
  </si>
  <si>
    <t>2.2.2</t>
  </si>
  <si>
    <t>2.2.3</t>
  </si>
  <si>
    <t>2.2.4</t>
  </si>
  <si>
    <t>2.2.5</t>
  </si>
  <si>
    <t>Sie entspricht derjenigen jährlichen Nutzung, bei der sowohl die Nutzungsdauer nach Zeit (N)</t>
  </si>
  <si>
    <t>als auch die Nutzungsdauer nach Leistung (n) gleichzeitig aufgebraucht sind:</t>
  </si>
  <si>
    <t>üblich (AfA in gleichen Raten), um so eine gleichmäßige Verteilung der Anschaffungskosten auf die</t>
  </si>
  <si>
    <r>
      <t xml:space="preserve">Bei der jährlichen </t>
    </r>
    <r>
      <rPr>
        <sz val="10"/>
        <rFont val="Arial"/>
        <family val="2"/>
      </rPr>
      <t xml:space="preserve">Abschreibung </t>
    </r>
    <r>
      <rPr>
        <sz val="10"/>
        <rFont val="Arial"/>
        <family val="2"/>
      </rPr>
      <t xml:space="preserve">ist in betriebswirtschaftlichen Kalkulationen ein </t>
    </r>
    <r>
      <rPr>
        <u/>
        <sz val="10"/>
        <rFont val="Arial"/>
        <family val="2"/>
      </rPr>
      <t>linearer</t>
    </r>
    <r>
      <rPr>
        <sz val="10"/>
        <rFont val="Arial"/>
        <family val="2"/>
      </rPr>
      <t xml:space="preserve"> Ansatz</t>
    </r>
  </si>
  <si>
    <t>Bei einem Einsatzumfang einer Maschine unterhalb der Abschreibungsschwelle (n / N) zählt die AfA</t>
  </si>
  <si>
    <t>als nutzungsunabhängig zu den festen Kosten.</t>
  </si>
  <si>
    <t>AfA je Jahr  =</t>
  </si>
  <si>
    <t>Nutzungsdauer zu erreichen:</t>
  </si>
  <si>
    <t xml:space="preserve"> Der Abschreibungsbetrag je Leistungseinheit (h, ha, etc) ergibt sich aus:</t>
  </si>
  <si>
    <t>AfA je Leistungseinheit (h, ha, etc)     =</t>
  </si>
  <si>
    <t>2.3</t>
  </si>
  <si>
    <t>2.3.1</t>
  </si>
  <si>
    <t>2.3.2</t>
  </si>
  <si>
    <t>2.3.3</t>
  </si>
  <si>
    <t>2.4</t>
  </si>
  <si>
    <t xml:space="preserve">2.5.1    </t>
  </si>
  <si>
    <t>2.5.2</t>
  </si>
  <si>
    <t>2.5.3</t>
  </si>
  <si>
    <t>3.2</t>
  </si>
  <si>
    <t xml:space="preserve"> - </t>
  </si>
  <si>
    <t>(nutzungsunabhängig)</t>
  </si>
  <si>
    <t>(nutzungsabhängig)</t>
  </si>
  <si>
    <r>
      <t xml:space="preserve">Abschreibung </t>
    </r>
    <r>
      <rPr>
        <sz val="8"/>
        <rFont val="Arial"/>
        <family val="2"/>
      </rPr>
      <t>(bei unterschwelliger Nutzung von Maschinen)</t>
    </r>
  </si>
  <si>
    <r>
      <t xml:space="preserve">Abschreibung  </t>
    </r>
    <r>
      <rPr>
        <sz val="8"/>
        <rFont val="Arial"/>
        <family val="2"/>
      </rPr>
      <t>(bei überschwelliger Nutzung von Maschinen)</t>
    </r>
  </si>
  <si>
    <t>Bereitstellung von Finanzmitteln für die Ersatzinvestitionen</t>
  </si>
  <si>
    <t>Inflation evtl. mehr Geld als ursprünglich benötigt wird (je nach Kalkulationsmethode lässt sich hier</t>
  </si>
  <si>
    <t>Abhilfe schaffen).</t>
  </si>
  <si>
    <t>Kalkulationszinsfüße noch um die Teuerungsrate zu vermindern, um den realen Kalkulationszinsfuß zu</t>
  </si>
  <si>
    <r>
      <t>KZF</t>
    </r>
    <r>
      <rPr>
        <sz val="6"/>
        <rFont val="Arial"/>
        <family val="2"/>
      </rPr>
      <t>real</t>
    </r>
  </si>
  <si>
    <t>IR</t>
  </si>
  <si>
    <r>
      <t>KZF</t>
    </r>
    <r>
      <rPr>
        <sz val="6"/>
        <rFont val="Arial"/>
        <family val="2"/>
      </rPr>
      <t>nom</t>
    </r>
  </si>
  <si>
    <r>
      <t xml:space="preserve">Die Grenze, an der die Abschreibung variabel wird, wird als </t>
    </r>
    <r>
      <rPr>
        <u/>
        <sz val="10"/>
        <rFont val="Arial"/>
        <family val="2"/>
      </rPr>
      <t>Abschreibungsschwelle</t>
    </r>
    <r>
      <rPr>
        <sz val="10"/>
        <rFont val="Arial"/>
        <family val="2"/>
      </rPr>
      <t xml:space="preserve"> bezeichnet.</t>
    </r>
  </si>
  <si>
    <t>Nutzungsdauer nach Leistung (h, ha, etc)</t>
  </si>
  <si>
    <t>Abschreibungsschwelle   =</t>
  </si>
  <si>
    <t>––––––––––––––––––––––––––––––––––––––</t>
  </si>
  <si>
    <t>je nach Nutzungsdauer</t>
  </si>
  <si>
    <t>Wie in Punkt 1.4 beschrieben, lassen sich die gesamten Kapitalkosten (Summe aus AfA und Zins-</t>
  </si>
  <si>
    <t>10.000 Stunden. Bei voller Auslastung, d.h wenn der Traktor die 10.000 Einsatzstunden auch</t>
  </si>
  <si>
    <t>Traktoren einen eher "zyklischen" Verschleiß (Reparaturen treten häufig nach einer mehr oder weniger</t>
  </si>
  <si>
    <t>Maschinen mit niedrigem Verschleiß (Traktoren, Selbstfahrer, Transport)</t>
  </si>
  <si>
    <t>10.000 Stunden (in max. 12 Jahren). Bei voller Auslastung, d.h wenn der Traktor die</t>
  </si>
  <si>
    <t>Wird der Traktor nur zu 80% ausgenutzt (d.h. nur 8.000 Stunden Leistung insgesamt bzw.</t>
  </si>
  <si>
    <t>Ist der Traktor nicht mehr neu sondern hat bereits 30% seines Leistungsvorrats aufgebraucht</t>
  </si>
  <si>
    <t>wenn der Traktor noch weitere 7.000 Std bis zum Erreichen der 10.000 Std gefahren wird:</t>
  </si>
  <si>
    <t>wenn der Traktor nur noch weitere 5.000 Std bis zum Erreichen von 8.000 Std gefahren wird:</t>
  </si>
  <si>
    <t>Z.B. Pflügen von 1 ha :  Kosten Traktor + Gesamtkosten Pflug + Lohnanspruch.</t>
  </si>
  <si>
    <t>Die Traktorkosten sind hier nur dann mit den variablen Kosten anzusetzen, wenn davon ausgegan-</t>
  </si>
  <si>
    <t>gen werden kann, dass der Traktor ohnehin vorhanden ist. Wird der Traktor ausschließlich für ein</t>
  </si>
  <si>
    <t>anteilige Festkosten des Traktors</t>
  </si>
  <si>
    <t>variable Kosten des Traktors</t>
  </si>
  <si>
    <t>entsprechenden Kosten aller beteiligten Elemente zu berücksichtigen: Gerät, Traktor, Arbeit.</t>
  </si>
  <si>
    <t>=   Traktorstunden × var. Traktorkosten  (zusätzliche Traktorkosten bei Eigenmechanisierung)</t>
  </si>
  <si>
    <t>Stellflächenbedarf</t>
  </si>
  <si>
    <t>€/m²  =</t>
  </si>
  <si>
    <t>m²    ×</t>
  </si>
  <si>
    <t>Bruttokosten je Jahr</t>
  </si>
  <si>
    <r>
      <t xml:space="preserve">Reparaturen </t>
    </r>
    <r>
      <rPr>
        <sz val="8"/>
        <rFont val="Arial"/>
        <family val="2"/>
      </rPr>
      <t>(bei Gebäuden i.d.R. den festen Kosten zugeschlagen)</t>
    </r>
  </si>
  <si>
    <r>
      <t xml:space="preserve">Wartung </t>
    </r>
    <r>
      <rPr>
        <sz val="8"/>
        <rFont val="Arial"/>
        <family val="2"/>
      </rPr>
      <t>(wird oft den Gemeinkosten des Betriebes zugeschlagen)</t>
    </r>
  </si>
  <si>
    <t>Rahmen der Hofarbeiten erfasst und stellen somit (feste) Gemeinkosten des Betriebes dar.</t>
  </si>
  <si>
    <t>Die Kosten je m² beziehen sich auf die Grundfläche bei 4 m nutzbarer Gebäudehöhe. Die jährlichen</t>
  </si>
  <si>
    <t>Zusätzliche Traktorkosten bei Eigenmechanisierung</t>
  </si>
  <si>
    <t>(i.d.R. variable Traktorkosten (TrK) × Std. (Trh))</t>
  </si>
  <si>
    <t>Tr-h × Tr-K</t>
  </si>
  <si>
    <r>
      <t xml:space="preserve">K </t>
    </r>
    <r>
      <rPr>
        <sz val="7"/>
        <rFont val="Arial"/>
        <family val="2"/>
      </rPr>
      <t xml:space="preserve">fremd </t>
    </r>
    <r>
      <rPr>
        <sz val="10"/>
        <rFont val="Arial"/>
        <family val="2"/>
      </rPr>
      <t>*      –         VK</t>
    </r>
    <r>
      <rPr>
        <sz val="7"/>
        <rFont val="Arial"/>
        <family val="2"/>
      </rPr>
      <t xml:space="preserve"> eigen </t>
    </r>
    <r>
      <rPr>
        <sz val="10"/>
        <rFont val="Arial"/>
        <family val="2"/>
      </rPr>
      <t xml:space="preserve">* </t>
    </r>
    <r>
      <rPr>
        <sz val="8"/>
        <rFont val="Arial"/>
        <family val="2"/>
      </rPr>
      <t>(ggf. zuzügl. AKh × LA, Tr-h × Tr-K)</t>
    </r>
  </si>
  <si>
    <t>zuzügl. Tr-h × Tr-K, AKh × LA</t>
  </si>
  <si>
    <r>
      <t>Terminkosten</t>
    </r>
    <r>
      <rPr>
        <sz val="10"/>
        <rFont val="Arial"/>
        <family val="2"/>
      </rPr>
      <t xml:space="preserve">: mit zunehmender Bearbeitungsfläche weicht der Zeitpunkt  </t>
    </r>
  </si>
  <si>
    <t>Verluste auftreten.</t>
  </si>
  <si>
    <r>
      <t>Technische Fortschritte</t>
    </r>
    <r>
      <rPr>
        <sz val="10"/>
        <rFont val="Arial"/>
        <family val="2"/>
      </rPr>
      <t xml:space="preserve">: bewirken ggf. geringere Verluste oder </t>
    </r>
  </si>
  <si>
    <t xml:space="preserve">MEU   =     </t>
  </si>
  <si>
    <t xml:space="preserve">VK </t>
  </si>
  <si>
    <t xml:space="preserve">AKh × LA </t>
  </si>
  <si>
    <t>N = Nutzungsdauer</t>
  </si>
  <si>
    <t>A = Anschaffungskosten</t>
  </si>
  <si>
    <t>werden kann:</t>
  </si>
  <si>
    <t>AfA-Satz (festgelegt):</t>
  </si>
  <si>
    <t xml:space="preserve"> (bezogen auf den jeweiligen Buchwert)</t>
  </si>
  <si>
    <t>Lineare AfA auf Basis</t>
  </si>
  <si>
    <t>Buchwert u Restnutz.-dauer</t>
  </si>
  <si>
    <t>AfA-Satz  ( 1 /  5 Jahre)</t>
  </si>
  <si>
    <t>AfA-Betrag</t>
  </si>
  <si>
    <t>Nutzungsjahre (1+2+3+…). Damit ist das Gut am Ende der Nutzungsdauer vollständig abgeschrieben.</t>
  </si>
  <si>
    <t xml:space="preserve">Bei fünf Jahren Nutzungsdauer sind dies: 1 + 2 + 3 + 4 +  5 = 15. </t>
  </si>
  <si>
    <t>Die Abschreibungsdauer entspricht einer Gesamtleistung von 10.000 Einsatzstunden</t>
  </si>
  <si>
    <t>Buchwert im Ø (inkl. A):</t>
  </si>
  <si>
    <t>Anschaffungskost. (A):</t>
  </si>
  <si>
    <t>(= Betrag, um den sich die AfA jährlich reduziert)</t>
  </si>
  <si>
    <t>Der durchschnittlich zu verzinsenden Anlagewert resultiert aus dem Mittelwert der Buchwerte der</t>
  </si>
  <si>
    <t>Progressive AfA</t>
  </si>
  <si>
    <t>Lineare AfA</t>
  </si>
  <si>
    <t>Geom.-degr. AfA</t>
  </si>
  <si>
    <t>Arithm.-degr. AfA</t>
  </si>
  <si>
    <t>…</t>
  </si>
  <si>
    <t>…entsprechend</t>
  </si>
  <si>
    <t>Leistungs-AfA</t>
  </si>
  <si>
    <t>AfA im Ø:</t>
  </si>
  <si>
    <t>AfA insgesamt:</t>
  </si>
  <si>
    <t>=&gt;</t>
  </si>
  <si>
    <t>= (100.000 + 80.000 + 60.000 + 40.000 + 20.000 + 0) : 6</t>
  </si>
  <si>
    <t>Der durchschnittlich zu verzinsenden Anlagewert ist zwangsläufig …</t>
  </si>
  <si>
    <t>niedriger als bei der linearen AfA</t>
  </si>
  <si>
    <t>höher als bei der linearen AfA</t>
  </si>
  <si>
    <t>für progressive AfA und AfA vom Wiederbesch.-wert</t>
  </si>
  <si>
    <t>für degressive AfA</t>
  </si>
  <si>
    <t>Lin. AfA vom Wiederbesch.-wert</t>
  </si>
  <si>
    <t>für Leistungs-AfA: je nach Verteilung der Leistung über die Zeit</t>
  </si>
  <si>
    <t>Berechnung des durchschnittlich zu verzinsenden Anlagewert in % vom Neuwert</t>
  </si>
  <si>
    <t xml:space="preserve">bei Progressiver Abschreibung </t>
  </si>
  <si>
    <t>(bzw. progressive Tilgung entspr. Annuitätendarlehen)</t>
  </si>
  <si>
    <t>Anschaff.-k.</t>
  </si>
  <si>
    <t>Ø BuW</t>
  </si>
  <si>
    <t>in %</t>
  </si>
  <si>
    <t>Nutz.-dauer</t>
  </si>
  <si>
    <t>Pe-</t>
  </si>
  <si>
    <t>Annui-</t>
  </si>
  <si>
    <t>Jährl</t>
  </si>
  <si>
    <t>Früh.</t>
  </si>
  <si>
    <t>riode</t>
  </si>
  <si>
    <t>tät</t>
  </si>
  <si>
    <t>Durchschnittlich zu verzinsender Anlagewert in % der Anschaffungskosten</t>
  </si>
  <si>
    <t>BuW</t>
  </si>
  <si>
    <t>Ø Anl.-W.</t>
  </si>
  <si>
    <t>N</t>
  </si>
  <si>
    <t xml:space="preserve">bei Arithmetisch-degressiver (digitaler) Abschreibung </t>
  </si>
  <si>
    <t>N =</t>
  </si>
  <si>
    <t>Verbl. N</t>
  </si>
  <si>
    <t>Anteil AfA</t>
  </si>
  <si>
    <t>MEU</t>
  </si>
  <si>
    <t>dt/ha</t>
  </si>
  <si>
    <t xml:space="preserve">jährliche Festkosten eigene Maschine </t>
  </si>
  <si>
    <t xml:space="preserve">variable Kosten der eigenen Maschine  </t>
  </si>
  <si>
    <t xml:space="preserve">AKh-Bedarf  </t>
  </si>
  <si>
    <t>AKh/ha</t>
  </si>
  <si>
    <t>Frage 1:</t>
  </si>
  <si>
    <t>Ab welcher jährlichen Auslastung des Mähdreschers ist die Eigenmechanisierung</t>
  </si>
  <si>
    <t>kostengünstiger als das Lohndreschen, sofern keine Nutzungskosten für den</t>
  </si>
  <si>
    <t>eigenen Arbeitseinsatz anfallen?</t>
  </si>
  <si>
    <t>MEU =</t>
  </si>
  <si>
    <t>—————————</t>
  </si>
  <si>
    <t>–</t>
  </si>
  <si>
    <t>Frage 2:</t>
  </si>
  <si>
    <t>Wie verändert sich das Kostengleichgewicht, wenn die eigene Arbeitszeit</t>
  </si>
  <si>
    <t>×</t>
  </si>
  <si>
    <t>Frage 3:</t>
  </si>
  <si>
    <t>Minderertrag  =</t>
  </si>
  <si>
    <t>%     ×</t>
  </si>
  <si>
    <t>dt/ha  ×</t>
  </si>
  <si>
    <t>Jahr</t>
  </si>
  <si>
    <t>Mindesteinsatzumfang (MEU) (ha oder Std.) **)</t>
  </si>
  <si>
    <t>Lohnanaspr. (LA) für Arbeitskr. (AKh) bei Eigenmechanisier.</t>
  </si>
  <si>
    <t>ggf. zuzügl. Termin-/Geschwindigkeitskosten, etc.</t>
  </si>
  <si>
    <t>Je Platz</t>
  </si>
  <si>
    <t>Fressplatzbreite</t>
  </si>
  <si>
    <t>Mistlager</t>
  </si>
  <si>
    <t>Summe der Grundflächen des Bauwerks (ohne Güllekeller und -kanäle)</t>
  </si>
  <si>
    <t>Teil der Netto-Grundfläche, der der Nutzung des Bauwerks aufgrund</t>
  </si>
  <si>
    <t>Rauminhalt des Baukörpers, der nach unten von der Unterfläche der</t>
  </si>
  <si>
    <t>konstruktiven Bauwerkssohle und im Übrigen von den äußeren</t>
  </si>
  <si>
    <t>Bruttorauminhalt des Baukörpers einschließlich Güllekanälen und</t>
  </si>
  <si>
    <t>Anschaffungs-/Herstellungskosten  /  2   ×   Zinsfuß</t>
  </si>
  <si>
    <r>
      <t xml:space="preserve">Einen </t>
    </r>
    <r>
      <rPr>
        <u/>
        <sz val="10"/>
        <rFont val="Arial"/>
        <family val="2"/>
      </rPr>
      <t>Restwert</t>
    </r>
    <r>
      <rPr>
        <sz val="10"/>
        <rFont val="Arial"/>
        <family val="2"/>
      </rPr>
      <t xml:space="preserve"> anzusetzen ist nur sinnvoll, wenn die vorgesehene Nutzungsdauer (z.B. aus</t>
    </r>
  </si>
  <si>
    <r>
      <t xml:space="preserve">Bei der Festlegung der </t>
    </r>
    <r>
      <rPr>
        <u/>
        <sz val="10"/>
        <rFont val="Arial"/>
        <family val="2"/>
      </rPr>
      <t>Nutzungsdauer</t>
    </r>
    <r>
      <rPr>
        <sz val="10"/>
        <rFont val="Arial"/>
        <family val="2"/>
      </rPr>
      <t xml:space="preserve"> ist zu beachten, dass nicht die mögliche technische Bestehens-</t>
    </r>
  </si>
  <si>
    <r>
      <t>unterschiedlichen Nutzungsdauer unbedingt  zwischen Bauhülle (</t>
    </r>
    <r>
      <rPr>
        <sz val="10"/>
        <rFont val="Symbol"/>
        <family val="1"/>
        <charset val="2"/>
      </rPr>
      <t>³</t>
    </r>
    <r>
      <rPr>
        <sz val="10"/>
        <rFont val="Arial"/>
        <family val="2"/>
      </rPr>
      <t xml:space="preserve"> 20 Jahre) und Einrichtung </t>
    </r>
  </si>
  <si>
    <t>(8 - 15 Jahre) zu unterscheiden (oder ein gewichtetes Mittel für die Nutzungsdauer zu verwenden).</t>
  </si>
  <si>
    <r>
      <t xml:space="preserve">Bei </t>
    </r>
    <r>
      <rPr>
        <u/>
        <sz val="10"/>
        <rFont val="Arial"/>
        <family val="2"/>
      </rPr>
      <t>Gebäuden mit technischer Einrichtung</t>
    </r>
    <r>
      <rPr>
        <sz val="10"/>
        <rFont val="Arial"/>
        <family val="2"/>
      </rPr>
      <t xml:space="preserve"> (z.B. Ställe) ist bei Berechnung der AfA aufgrund der</t>
    </r>
  </si>
  <si>
    <r>
      <t>Abbruch- und Entsorgungskosten</t>
    </r>
    <r>
      <rPr>
        <sz val="10"/>
        <rFont val="Arial"/>
        <family val="2"/>
      </rPr>
      <t xml:space="preserve"> am Ende der Nutzung sind bei der AfA-Berechnung auf die Anschaf-</t>
    </r>
  </si>
  <si>
    <t>Wie in Punkt 2.3 beschrieben, lassen sich die gesamten Kapitalkosten (Summe aus AfA und Zins-</t>
  </si>
  <si>
    <t>).</t>
  </si>
  <si>
    <t>&gt; 12 bis 18 t</t>
  </si>
  <si>
    <t>&gt; 18 bis 32 t</t>
  </si>
  <si>
    <t>&gt; 32 t</t>
  </si>
  <si>
    <t>Technische Überwachung von Fahrzeugen mit eigenem Kennzeichen.</t>
  </si>
  <si>
    <t>&gt; 3,5 bis 7,5 t</t>
  </si>
  <si>
    <t>&gt; 7,5 bis 12 t</t>
  </si>
  <si>
    <t>Zulässige</t>
  </si>
  <si>
    <t>Gesamtmasse (t)</t>
  </si>
  <si>
    <t xml:space="preserve">  Hauptuntersuchung</t>
  </si>
  <si>
    <t xml:space="preserve">   Kosten (€)</t>
  </si>
  <si>
    <t xml:space="preserve">  Sicherheitsprüfung</t>
  </si>
  <si>
    <t xml:space="preserve"> baulich bestimmter Höchst-</t>
  </si>
  <si>
    <r>
      <t xml:space="preserve"> geschwindigkeit </t>
    </r>
    <r>
      <rPr>
        <sz val="8"/>
        <rFont val="Symbol"/>
        <family val="1"/>
        <charset val="2"/>
      </rPr>
      <t>£</t>
    </r>
    <r>
      <rPr>
        <sz val="8"/>
        <rFont val="Arial"/>
        <family val="2"/>
      </rPr>
      <t xml:space="preserve"> 40 km/h</t>
    </r>
  </si>
  <si>
    <t xml:space="preserve"> Intervall*)</t>
  </si>
  <si>
    <t xml:space="preserve"> *) Intervall in Monaten!</t>
  </si>
  <si>
    <t xml:space="preserve"> **) sowie Fahrzeuge mit</t>
  </si>
  <si>
    <t xml:space="preserve"> ***) bei Anhängern ab 10 t</t>
  </si>
  <si>
    <t>6 ***)</t>
  </si>
  <si>
    <t>bis 3,5 t **)</t>
  </si>
  <si>
    <t>Versicherung:</t>
  </si>
  <si>
    <t>Besteuerung:</t>
  </si>
  <si>
    <t>Alle Kosten für die direkte Besteuerung eines Anlagegutes.</t>
  </si>
  <si>
    <t>Kraftfahrzeugsteuer befreit, es sind deshalb keine Kosten einzurechnen.</t>
  </si>
  <si>
    <t>Gebühren:</t>
  </si>
  <si>
    <t>Für Pflanzenschutzgeräte ist in der Bundesrepublik Deutschland eine regelmäßige</t>
  </si>
  <si>
    <t>Es werden alle Kosten erfasst, die für den gesetzlich vorgeschriebenen oder auch</t>
  </si>
  <si>
    <t>freiwilligen Versicherungsschutz anfallen.</t>
  </si>
  <si>
    <t>Herleitung der Formel für den Mindesteinsatzumfang (MEU):</t>
  </si>
  <si>
    <t>Die lineare Abschreibung ist gekennzeichnet durch jährlich gleichbleibende Abschreibungsraten.</t>
  </si>
  <si>
    <t>Dadurch verringert sich der Buchwert eines Anlagegutes in ebenso gleichbleibenden Schritten (=linear).</t>
  </si>
  <si>
    <t>Die progressive Abschreibung ist gekennzeichnet durch Abschreibungsraten, die im Zeitverlauf zunehmen.</t>
  </si>
  <si>
    <t>Dadurch verringert sich der Buchwert eines Anlagegutes in immer größeren Schritten (= progressiv).</t>
  </si>
  <si>
    <t>Die degressive Abschreibung ist gekennzeichnet durch Abschreibungsraten, die im Zeitverlauf abnehmen.</t>
  </si>
  <si>
    <t>Dadurch verringert sich der Buchwert eines Anlagegutes in immer kleineren Schritten (= degressiv).</t>
  </si>
  <si>
    <t>Feste Kosten  (nutzungsunabhängig):</t>
  </si>
  <si>
    <t>Variable Kosten   (nutzungsabhängig):</t>
  </si>
  <si>
    <t>Voraussetzung für eine reale Substanzerhaltung ist jedoch, dass der tatsächliche</t>
  </si>
  <si>
    <t>Die degressive Abschreibung hat den wesentlichen Vorteil, dass sie zu einem Wertverlauf führt, der den</t>
  </si>
  <si>
    <t>höher die Abschreibungen je Jahr sind. Daraus folgt, dass der Scheingewinn (Substanzerhaltung voraus-</t>
  </si>
  <si>
    <t>der Arbeitserledigung immer mehr vom optimalen Zeitpunkt ab, so dass</t>
  </si>
  <si>
    <t>tatsächlichen  Veräußerungswerten von Maschinen zutreffender erfasst als dies bei linearer oder gar</t>
  </si>
  <si>
    <t>Leistung pro Jahr</t>
  </si>
  <si>
    <t>––––––––––––––––-</t>
  </si>
  <si>
    <t>Jährlicher Abschreibungsbetrag   =   Abschreibungssumme   ×</t>
  </si>
  <si>
    <t>A =</t>
  </si>
  <si>
    <t>(Mindest-) Einsatzumfang  =</t>
  </si>
  <si>
    <t>ððð</t>
  </si>
  <si>
    <t>Unterscheiden sich Eigen- und Fremdmechanisierung auch hinsichtlich der Arbeitsqualität, so</t>
  </si>
  <si>
    <t>die Fremdmechanisierung benachteiligen.</t>
  </si>
  <si>
    <t>sind die erwarteten Nachteile (Geschwindigkeitskosten, Terminkosten, etc.) der entsprechenden</t>
  </si>
  <si>
    <t>Seite als Kosten anzulasten.</t>
  </si>
  <si>
    <t>Festkosten der eigenen Maschine je Jahr</t>
  </si>
  <si>
    <t>Kosten Fremdmaschine    –    Variable Kosten eigene Maschine</t>
  </si>
  <si>
    <t xml:space="preserve">              je ha oder h                                  je ha oder h</t>
  </si>
  <si>
    <t>Kosten Fremderledigung</t>
  </si>
  <si>
    <t>je ha oder h</t>
  </si>
  <si>
    <t>VK eigene Maschine je ha / h</t>
  </si>
  <si>
    <t>=   Variable Maschinenkosten der eigenen Arbeitsmaschinen</t>
  </si>
  <si>
    <t>=   Arbeitskraftstunden × Lohnansatz  (zusätzliche Kosten für AKh bei Eigenmechanisierung)</t>
  </si>
  <si>
    <t>€/dt</t>
  </si>
  <si>
    <t>€/ha</t>
  </si>
  <si>
    <t>€/Jahr</t>
  </si>
  <si>
    <t>Verkaufspreis Getreide</t>
  </si>
  <si>
    <t>Mindestauslastung von Maschinen</t>
  </si>
  <si>
    <t>Verfahrenskosten, Vergleichskosten und Mindesteinsatz</t>
  </si>
  <si>
    <t>Löhne / Nutzungskosten der AKh ständiger Fremd-AKh</t>
  </si>
  <si>
    <t>Dazu vergleicht man die Kosten der Eigenmechanisierung auf der einen Seite mit den Kosten der</t>
  </si>
  <si>
    <t>Ermittelt wird so die Auslastung, bei der Kostengleichheit zwischen den Alternativen herrscht.</t>
  </si>
  <si>
    <t>Auslastung in %</t>
  </si>
  <si>
    <t>Rep-Korrektur-Faktor</t>
  </si>
  <si>
    <t>(A – R) / N</t>
  </si>
  <si>
    <t>(A – R) / n</t>
  </si>
  <si>
    <t>Unterhalt, Instandhaltung von Gebäuden, Melior., Dauerkult.</t>
  </si>
  <si>
    <t>Bei Dauerkulturen (und Meliorationen) sind pauschale Ansätze für die Instandhaltung und Versicherung</t>
  </si>
  <si>
    <t>schwer abzuleiten; hier müssen individuelle Werte verwendet werden.</t>
  </si>
  <si>
    <t>nen), Dauerkulturen, Gebäude und bauliche Anlagen sowie Maschinen, Geräte u. Betriebsvorrichtungen.</t>
  </si>
  <si>
    <t>Zu den baulichen Anlagen zählen Düngerstätten, Jauche- und Güllegruben, Gärfuttersilos, Hof- und</t>
  </si>
  <si>
    <t>Wegebefestigungen, Brücken und feste Einfriedungen von Hof und Feldern.</t>
  </si>
  <si>
    <t>fungs-/Herstellungskosten aufzuschlagen In der Praxis werden sie jedoch meist vernachlässigt, was</t>
  </si>
  <si>
    <t>zwangsläufig (insbesondere bei Dauerkulturen) zu einer Unterschätzung der Kosten führt.</t>
  </si>
  <si>
    <t>Kosten von Gebäuden, baulichen Anlagen, Dauerkulturen</t>
  </si>
  <si>
    <t>Kosten von Maschinen, Geräten und Betriebsvorrichtungen</t>
  </si>
  <si>
    <t>3.1</t>
  </si>
  <si>
    <t>1.3</t>
  </si>
  <si>
    <t>1.4</t>
  </si>
  <si>
    <t>1.3.1</t>
  </si>
  <si>
    <t>1.3.2</t>
  </si>
  <si>
    <t>1.2</t>
  </si>
  <si>
    <t>1.1</t>
  </si>
  <si>
    <t>1.2.1</t>
  </si>
  <si>
    <t>1.2.2</t>
  </si>
  <si>
    <t>1.2.3</t>
  </si>
  <si>
    <t>1.2.4</t>
  </si>
  <si>
    <t>1.2.5</t>
  </si>
  <si>
    <t>––––––––––––––––––––––––-</t>
  </si>
  <si>
    <t>Wertverlauf dem mit Hilfe der linearen Abschreibung ermittelten Buchwert entspricht.</t>
  </si>
  <si>
    <t>Lineare Abschreibung</t>
  </si>
  <si>
    <t>Periode</t>
  </si>
  <si>
    <t>j AfA</t>
  </si>
  <si>
    <t>Su AfA</t>
  </si>
  <si>
    <t>Progressive Abschreibung</t>
  </si>
  <si>
    <t>Ein progressiver Abschreibungsverlauf wird angenommen, wenn die Kapitalkosten (Abschreibung und</t>
  </si>
  <si>
    <t>Zinsanspruch) vereinfachend mit Hilfe des Annuitätenfaktors ermittelt werden (Wertanpassung ent-</t>
  </si>
  <si>
    <t>spricht dem Tilgungsverlauf bei einem Annuitätendarlehen). Diese Methode führt in der Tendenz zu</t>
  </si>
  <si>
    <t>spruches, da das durchschnittlich zu verzinsende Kapital höher ist.</t>
  </si>
  <si>
    <t>Der tatsächliche Wertverlauf von dauerhaften Produktionsmitteln wird i.d.R. damit nicht wiedergegeben.</t>
  </si>
  <si>
    <t>Degressive Abschreibung</t>
  </si>
  <si>
    <t>progressiver Abschreibung der Fall ist. Von den verschiedenen Formen der degressiven Abschreibung</t>
  </si>
  <si>
    <t>wird die geometrisch-degressive am häufigsten eingesetzt.</t>
  </si>
  <si>
    <t>Geometrisch - degressive Abschreibung</t>
  </si>
  <si>
    <t>Faktor</t>
  </si>
  <si>
    <t>Lineare Abschreibung vom Wiederbeschaffungswert</t>
  </si>
  <si>
    <t>Die lineare Abschreibung vom Wiederbeschaffungswert verfolgt das Ziel, die Ersatzbeschaffung auch</t>
  </si>
  <si>
    <t>bei Inflation aus der Abschreibung voll finanzieren zu können. Aus der Differenz zur durchschnittlichen</t>
  </si>
  <si>
    <t>Es gilt also nun zu ermitteln, welche Leistung (ha, Std., etc.) eine Maschine je Jahr erreichen muss,</t>
  </si>
  <si>
    <t>damit die Kosten der Eigenmechanisierung niedriger als die Kosten der Fremdmechanisierung sind.</t>
  </si>
  <si>
    <t>Getreideertrag</t>
  </si>
  <si>
    <t>Kosten für Lohndrusch mit Strohhäckseln (komplett)</t>
  </si>
  <si>
    <r>
      <t xml:space="preserve">K </t>
    </r>
    <r>
      <rPr>
        <sz val="7"/>
        <rFont val="Arial"/>
        <family val="2"/>
      </rPr>
      <t>fremd</t>
    </r>
  </si>
  <si>
    <r>
      <t xml:space="preserve">FK </t>
    </r>
    <r>
      <rPr>
        <sz val="7"/>
        <rFont val="Arial"/>
        <family val="2"/>
      </rPr>
      <t>eigen</t>
    </r>
  </si>
  <si>
    <r>
      <t xml:space="preserve">VK </t>
    </r>
    <r>
      <rPr>
        <sz val="7"/>
        <rFont val="Arial"/>
        <family val="2"/>
      </rPr>
      <t>eigen</t>
    </r>
  </si>
  <si>
    <t>In diesem Fall erhöhen sich die Kosten der eigenen Arbeitserledigung um den</t>
  </si>
  <si>
    <t>Lohnanspruch:</t>
  </si>
  <si>
    <t>–    (</t>
  </si>
  <si>
    <r>
      <t xml:space="preserve">AKh </t>
    </r>
    <r>
      <rPr>
        <sz val="7"/>
        <rFont val="Arial"/>
        <family val="2"/>
      </rPr>
      <t>eigen</t>
    </r>
  </si>
  <si>
    <r>
      <t xml:space="preserve">( VK </t>
    </r>
    <r>
      <rPr>
        <sz val="7"/>
        <rFont val="Arial"/>
        <family val="2"/>
      </rPr>
      <t>eigen</t>
    </r>
    <r>
      <rPr>
        <sz val="10"/>
        <rFont val="Arial"/>
        <family val="2"/>
      </rPr>
      <t xml:space="preserve">  +  [AKh </t>
    </r>
    <r>
      <rPr>
        <sz val="7"/>
        <rFont val="Arial"/>
        <family val="2"/>
      </rPr>
      <t>eigen</t>
    </r>
    <r>
      <rPr>
        <sz val="10"/>
        <rFont val="Arial"/>
        <family val="2"/>
      </rPr>
      <t xml:space="preserve">  ×  Lohnansatz] )</t>
    </r>
  </si>
  <si>
    <t>———————————————————————–––––</t>
  </si>
  <si>
    <t>Die Kosten für den Lohndrusch sind um den Wert der Ertragsverluste zu erhöhen:</t>
  </si>
  <si>
    <t>Fremdmechanisierung aufgrund verspäteter Ernte eine durchschnittlicher Minderertrag</t>
  </si>
  <si>
    <t>von 1 % des normalen Ernteertrages angenommen werden muss?</t>
  </si>
  <si>
    <r>
      <t xml:space="preserve">( K </t>
    </r>
    <r>
      <rPr>
        <sz val="7"/>
        <rFont val="Arial"/>
        <family val="2"/>
      </rPr>
      <t>fremd</t>
    </r>
  </si>
  <si>
    <t>Terminkosten )</t>
  </si>
  <si>
    <t>——————————————————————————————————–––––</t>
  </si>
  <si>
    <t>———————————————————————–––––––-</t>
  </si>
  <si>
    <t>Problem:</t>
  </si>
  <si>
    <t>Erledigung der Getreideernte über Lohndrusch?</t>
  </si>
  <si>
    <t>Verfahrenskosten, Vergleichskosten und Mindesteinsatz von Maschinen</t>
  </si>
  <si>
    <r>
      <t>K</t>
    </r>
    <r>
      <rPr>
        <i/>
        <sz val="7"/>
        <rFont val="Arial"/>
        <family val="2"/>
      </rPr>
      <t>fremd</t>
    </r>
  </si>
  <si>
    <t>Feste Kosten der eigenen Arbeitsmaschine je Jahr</t>
  </si>
  <si>
    <t>Kosten der Fremdmechanisierung je ha, h, etc.</t>
  </si>
  <si>
    <t>Variable Maschinenkosten der eigenen Arbeitsmaschine je ha, h, etc.</t>
  </si>
  <si>
    <r>
      <t>FK</t>
    </r>
    <r>
      <rPr>
        <i/>
        <sz val="7"/>
        <rFont val="Arial"/>
        <family val="2"/>
      </rPr>
      <t xml:space="preserve"> eigen</t>
    </r>
  </si>
  <si>
    <r>
      <t>VK</t>
    </r>
    <r>
      <rPr>
        <i/>
        <sz val="7"/>
        <rFont val="Arial"/>
        <family val="2"/>
      </rPr>
      <t xml:space="preserve"> eigen</t>
    </r>
  </si>
  <si>
    <r>
      <t>FK</t>
    </r>
    <r>
      <rPr>
        <sz val="7"/>
        <rFont val="Arial"/>
        <family val="2"/>
      </rPr>
      <t xml:space="preserve"> eigen</t>
    </r>
  </si>
  <si>
    <t>* )</t>
  </si>
  <si>
    <r>
      <t>K</t>
    </r>
    <r>
      <rPr>
        <sz val="7"/>
        <rFont val="Arial"/>
        <family val="2"/>
      </rPr>
      <t xml:space="preserve"> fremd</t>
    </r>
  </si>
  <si>
    <r>
      <t>( FK</t>
    </r>
    <r>
      <rPr>
        <sz val="7"/>
        <rFont val="Arial"/>
        <family val="2"/>
      </rPr>
      <t xml:space="preserve"> eigen</t>
    </r>
    <r>
      <rPr>
        <sz val="10"/>
        <rFont val="Arial"/>
        <family val="2"/>
      </rPr>
      <t xml:space="preserve"> je Jahr  /  MEU )  +  VK</t>
    </r>
    <r>
      <rPr>
        <sz val="7"/>
        <rFont val="Arial"/>
        <family val="2"/>
      </rPr>
      <t xml:space="preserve"> eigen</t>
    </r>
    <r>
      <rPr>
        <sz val="10"/>
        <rFont val="Arial"/>
        <family val="2"/>
      </rPr>
      <t xml:space="preserve"> je ha</t>
    </r>
  </si>
  <si>
    <r>
      <t>( FK</t>
    </r>
    <r>
      <rPr>
        <sz val="7"/>
        <rFont val="Arial"/>
        <family val="2"/>
      </rPr>
      <t xml:space="preserve"> eigen</t>
    </r>
    <r>
      <rPr>
        <sz val="10"/>
        <rFont val="Arial"/>
        <family val="2"/>
      </rPr>
      <t xml:space="preserve"> je Jahr  /  MEU )</t>
    </r>
  </si>
  <si>
    <r>
      <t>–  VK</t>
    </r>
    <r>
      <rPr>
        <sz val="7"/>
        <rFont val="Arial"/>
        <family val="2"/>
      </rPr>
      <t xml:space="preserve"> eigen</t>
    </r>
    <r>
      <rPr>
        <sz val="10"/>
        <rFont val="Arial"/>
        <family val="2"/>
      </rPr>
      <t xml:space="preserve"> je ha</t>
    </r>
  </si>
  <si>
    <r>
      <t>FK</t>
    </r>
    <r>
      <rPr>
        <sz val="7"/>
        <rFont val="Arial"/>
        <family val="2"/>
      </rPr>
      <t xml:space="preserve"> eigen</t>
    </r>
    <r>
      <rPr>
        <sz val="10"/>
        <rFont val="Arial"/>
        <family val="2"/>
      </rPr>
      <t xml:space="preserve"> je Jahr</t>
    </r>
  </si>
  <si>
    <t>/</t>
  </si>
  <si>
    <t>/    (</t>
  </si>
  <si>
    <r>
      <t>–  VK</t>
    </r>
    <r>
      <rPr>
        <sz val="7"/>
        <rFont val="Arial"/>
        <family val="2"/>
      </rPr>
      <t xml:space="preserve"> eigen</t>
    </r>
    <r>
      <rPr>
        <sz val="10"/>
        <rFont val="Arial"/>
        <family val="2"/>
      </rPr>
      <t xml:space="preserve"> je ha )</t>
    </r>
  </si>
  <si>
    <t>Summe der jährlichen Festkosten:</t>
  </si>
  <si>
    <t>8% - 12%</t>
  </si>
  <si>
    <t>Unterhalt (Reparatur):</t>
  </si>
  <si>
    <t>Anschaffungs-/Herstellungskosten  /  Nutzungsdauer (Jahre)</t>
  </si>
  <si>
    <t>Zinsfuß</t>
  </si>
  <si>
    <t>Annuitätenfaktor</t>
  </si>
  <si>
    <t>Frühere</t>
  </si>
  <si>
    <t>Jährl.</t>
  </si>
  <si>
    <r>
      <t xml:space="preserve">Progressive Abschreibung </t>
    </r>
    <r>
      <rPr>
        <sz val="8"/>
        <rFont val="Arial"/>
        <family val="2"/>
      </rPr>
      <t xml:space="preserve">(bzw. progressive Tilgung </t>
    </r>
    <r>
      <rPr>
        <sz val="8"/>
        <rFont val="Arial"/>
        <family val="2"/>
      </rPr>
      <t>entspr. Annuitätendarlehen)</t>
    </r>
  </si>
  <si>
    <t>¾¾¾¾¾</t>
  </si>
  <si>
    <t>Der Annuitätenfaktor berechnet sich nach nebenstehender Formel, wobei gilt:</t>
  </si>
  <si>
    <t>Der Annuitätenfaktor wird meist Tabellen entnommen.</t>
  </si>
  <si>
    <t>i = Zinsfuß als Dezimalwert (bei 10% also 0,1) und n = Anzahl der Perioden</t>
  </si>
  <si>
    <t>Der Annuitätenfaktor wird mit den Anschaffungskosten multipliziert und ergibt so einen jährlich</t>
  </si>
  <si>
    <t>gleichbleibenden Betrag ("Annuität"), welche die Summe aus Zinsanspruch und Abschreibung (bzw.</t>
  </si>
  <si>
    <t>bei einem Darlehen Zins + Tilgung) darstellt.</t>
  </si>
  <si>
    <t>Der jährliche Abschreibungsbetrag berechnet sich folglich jeweils aus der Differenz von Annuität und</t>
  </si>
  <si>
    <t>Der in der Annuität enthaltene Zinsanspruch berechnet sich jährlich aus dem Restwert des Vorjahres</t>
  </si>
  <si>
    <r>
      <t>i (1 + i)</t>
    </r>
    <r>
      <rPr>
        <i/>
        <vertAlign val="superscript"/>
        <sz val="10"/>
        <rFont val="Arial"/>
        <family val="2"/>
      </rPr>
      <t>n</t>
    </r>
  </si>
  <si>
    <r>
      <t>(1 + i)</t>
    </r>
    <r>
      <rPr>
        <i/>
        <vertAlign val="superscript"/>
        <sz val="10"/>
        <rFont val="Arial"/>
        <family val="2"/>
      </rPr>
      <t>n</t>
    </r>
    <r>
      <rPr>
        <i/>
        <sz val="10"/>
        <rFont val="Arial"/>
        <family val="2"/>
      </rPr>
      <t xml:space="preserve"> - 1</t>
    </r>
  </si>
  <si>
    <t>×   100.000   =</t>
  </si>
  <si>
    <t>multipliziert mit dem Zinsfuß:</t>
  </si>
  <si>
    <t>Für das erste Jahr ergibt sich ein Zinsanspruch von:</t>
  </si>
  <si>
    <t>Bei Anschaffungskosten von 100.000 ergibt sich einen Annuität von:</t>
  </si>
  <si>
    <t>Zinsanspruch.</t>
  </si>
  <si>
    <t>Für das erste Jahr ergibt sich eine Abschreibung von:</t>
  </si>
  <si>
    <t xml:space="preserve">– </t>
  </si>
  <si>
    <t>Für das erste Jahr ergibt sich ein Buchwert von:</t>
  </si>
  <si>
    <t>Der Buchwert (Restwert) des Anlagegutes verringert sich schließlich um die berechnete Abschreibung.</t>
  </si>
  <si>
    <t>In dieser Weise muss nun jedes Jahr durchgerechnet werden, denn mit sinkendem Restwert verringert</t>
  </si>
  <si>
    <t>sich über die Zeit auch der Zinsanspruch (Restwert × Zinsfuß). Da die Summe aus Zinsanspruch und</t>
  </si>
  <si>
    <t>Abschreibung aber immer konstant bleibt, nimmt die Abschreibung im Zeitverlauf zwangsläufig zu.</t>
  </si>
  <si>
    <t>Zins-</t>
  </si>
  <si>
    <t>anspr.</t>
  </si>
  <si>
    <t>Die progressive Abschreibung macht allenfalls dort Sinn wo die Beanspruchung von Maschinen</t>
  </si>
  <si>
    <t>kontinuierlich steigt oder wo (wie zum Beispiel bei Obstplantagen, Weinbergen, etc) erst mit der</t>
  </si>
  <si>
    <t>Zunahme des Ertragspotenzials der Neuanlage auch die Erträge für eine Abschreibung erwirtschaftet</t>
  </si>
  <si>
    <t>werden.</t>
  </si>
  <si>
    <t>Grunddaten:</t>
  </si>
  <si>
    <t>Zunächst wird die Summe aus den zu erwartenden Nutzungsjahren gebildet.</t>
  </si>
  <si>
    <t>Summe der Nutzungsjahre</t>
  </si>
  <si>
    <t>:</t>
  </si>
  <si>
    <t>verbleibende Nutzungsjahre</t>
  </si>
  <si>
    <t>Im ersten Jahr ergibt sich eine Abschreibungsrate von:</t>
  </si>
  <si>
    <t xml:space="preserve">was bei Anschaffungskosten von 100.000 einer Abschreibung von 33.333 </t>
  </si>
  <si>
    <t>und einem verbleibenden Buchwert (Restwert) von 66.666 entspricht.</t>
  </si>
  <si>
    <t>Im zweiten Jahr beträgt die Abschreibungsrate dann 4 : 15  =</t>
  </si>
  <si>
    <t>Die Abschreibung beträgt folglich 26,7% × 100.000  = 26.667; es verbleiben 40.000 Buchwert, usw.</t>
  </si>
  <si>
    <t>Anteil</t>
  </si>
  <si>
    <t>/ Summe der Jahresziffern</t>
  </si>
  <si>
    <t>= Degressionsbetrag</t>
  </si>
  <si>
    <t>Ausgangsdaten</t>
  </si>
  <si>
    <t>Der Degressionsbetrag ist der Quotient aus Anschaffungspreis und der Summe der geplanten</t>
  </si>
  <si>
    <t xml:space="preserve"> =  Eigenkapital (am Anfang)</t>
  </si>
  <si>
    <t xml:space="preserve"> =  Fremdkapital (am Anfang)</t>
  </si>
  <si>
    <t xml:space="preserve"> =  Zinsfuß Eigenkapital</t>
  </si>
  <si>
    <t xml:space="preserve"> =  Zinsfuß Fremdkapital</t>
  </si>
  <si>
    <t>–––––––––––––––––––</t>
  </si>
  <si>
    <t xml:space="preserve">Kalkulationszinsfuß  = </t>
  </si>
  <si>
    <t xml:space="preserve"> =  Eigenkapital (insgesamt)</t>
  </si>
  <si>
    <t xml:space="preserve"> =  Fremdkapital (insgesamt)</t>
  </si>
  <si>
    <t>Der mittlere Kalkulationszinsfuß lässt sich jetzt nicht mehr aufgrund des anfänglichen</t>
  </si>
  <si>
    <t>Verhältnisses von Eigen- zu Fremdkapital (Zeitpunkt 0) berechnen, da das Verhältnis sich</t>
  </si>
  <si>
    <t>während der Nutzungsdauer ändert. Daher ist bei der Berechnung der Kapitalanteile die</t>
  </si>
  <si>
    <t>Gesamtsumme des Kapitals über die gesamte Nutzungsdauer relevant.</t>
  </si>
  <si>
    <t>|</t>
  </si>
  <si>
    <t>Kalkulation über die ermittelten Anteile:</t>
  </si>
  <si>
    <r>
      <t>S</t>
    </r>
    <r>
      <rPr>
        <sz val="9"/>
        <rFont val="Arial"/>
        <family val="2"/>
      </rPr>
      <t xml:space="preserve">  =</t>
    </r>
  </si>
  <si>
    <t>Alternative Rechnung über obige</t>
  </si>
  <si>
    <t>Formel:</t>
  </si>
  <si>
    <r>
      <t>S</t>
    </r>
    <r>
      <rPr>
        <sz val="9"/>
        <rFont val="Arial"/>
        <family val="2"/>
      </rPr>
      <t>K</t>
    </r>
    <r>
      <rPr>
        <vertAlign val="subscript"/>
        <sz val="9"/>
        <rFont val="Arial"/>
        <family val="2"/>
      </rPr>
      <t xml:space="preserve"> e</t>
    </r>
    <r>
      <rPr>
        <sz val="10"/>
        <rFont val="Arial"/>
        <family val="2"/>
      </rPr>
      <t/>
    </r>
  </si>
  <si>
    <r>
      <t>S</t>
    </r>
    <r>
      <rPr>
        <sz val="9"/>
        <rFont val="Arial"/>
        <family val="2"/>
      </rPr>
      <t>K</t>
    </r>
    <r>
      <rPr>
        <vertAlign val="subscript"/>
        <sz val="9"/>
        <rFont val="Arial"/>
        <family val="2"/>
      </rPr>
      <t xml:space="preserve"> f</t>
    </r>
  </si>
  <si>
    <t>Da eine Diskussion aller möglicher Kombinationen der verschiedenen Abschreibungs- und Darlehens-</t>
  </si>
  <si>
    <t>Lagerräumen sowie Vorgruben und Behältern</t>
  </si>
  <si>
    <t xml:space="preserve">Grundfläche des eigentlichen Stallbereichs ohne Nebenräume </t>
  </si>
  <si>
    <t>wie z. B. Futterlager</t>
  </si>
  <si>
    <t>Konstruktions-</t>
  </si>
  <si>
    <t xml:space="preserve"> grundfläche</t>
  </si>
  <si>
    <t>seiner Zweckbestimmung dient</t>
  </si>
  <si>
    <t xml:space="preserve">Summe der Grundflächen der aufgehenden Bauteile </t>
  </si>
  <si>
    <t>(z. B. Wände, Stützen, Pfeiler)</t>
  </si>
  <si>
    <t xml:space="preserve">Bruttorauminhalt </t>
  </si>
  <si>
    <t xml:space="preserve"> Mist</t>
  </si>
  <si>
    <t xml:space="preserve">Begrenzungsflächen des Bauwerks umschlossen wird. </t>
  </si>
  <si>
    <t>(Nicht zum BRI gehören z. B. Fundamente und Kriechkeller, flache Güllekanäle)</t>
  </si>
  <si>
    <t>Netto-Lagerraum für Gülle bzw. Festmist in m³</t>
  </si>
  <si>
    <t>Nutzvolumen</t>
  </si>
  <si>
    <t>NV</t>
  </si>
  <si>
    <t>Der von Lagerstoffen benötigte Rauminhalt ohne Frei- und Arbeitsräume</t>
  </si>
  <si>
    <t>formen (Abzahlungsdarlehen, Annuitätendarlehen, usw.) hier viel zu weit führen würde, soll der Einfluss</t>
  </si>
  <si>
    <t>der Finanzierung auf den Kalkulationszinsfuß im Folgenden anhand der einfachsten (und für die Praxis</t>
  </si>
  <si>
    <t>wichtigsten) Verknüpfung aus linearer AfA und linearer Tilgung (= Abzahlungsdarlehen) erläutert werden.</t>
  </si>
  <si>
    <t>(in % der Anschaffungskosten) klaren Verläufen, die von wenigen Parametern abhängen.</t>
  </si>
  <si>
    <t>Bei den anderen Abschreibungsmethoden ist eine Standardisierung nicht allgemeingültig möglich, da</t>
  </si>
  <si>
    <t>auch Faktoren zu berücksichtigen sind, die von Fall zu Fall individuell und oft willkürlich festzulegen</t>
  </si>
  <si>
    <t>sind (Feste AfA-Rate, Preissteigerung, jährliche Leistung, etc.).</t>
  </si>
  <si>
    <t>Die Arithmetisch-degressive Abschreibung ist eine handelsrechtlich aber nicht steuerrechtlich</t>
  </si>
  <si>
    <t>zugelassene Methode und deshalb von geringerer Bedeutung als die Geometrisch-degressive</t>
  </si>
  <si>
    <t>Abschreibung.</t>
  </si>
  <si>
    <t>Exkurs:</t>
  </si>
  <si>
    <t>Planung von Betrieben eine besondere Bedeutung zu, denn die Frage …</t>
  </si>
  <si>
    <t>Der Interpretation von Abschreibungen als "Ansparung von Geldmitteln" kommt insbesondere bei der</t>
  </si>
  <si>
    <t>steiger.</t>
  </si>
  <si>
    <t>AfA</t>
  </si>
  <si>
    <t>Gesamt</t>
  </si>
  <si>
    <t>WieBe.-</t>
  </si>
  <si>
    <t>Abschreibungssatz:</t>
  </si>
  <si>
    <t>Nachhol</t>
  </si>
  <si>
    <t>Nominal</t>
  </si>
  <si>
    <t xml:space="preserve"> -</t>
  </si>
  <si>
    <t>Bei einer Nutzungs-/Abschreibungsdauer von 5 Jahren ergeben sich jährlich:</t>
  </si>
  <si>
    <r>
      <t>Nominal</t>
    </r>
    <r>
      <rPr>
        <sz val="10"/>
        <rFont val="Arial"/>
        <family val="2"/>
      </rPr>
      <t>abschreibung = 20 % des jeweiligen Wiederbeschaffungswertes</t>
    </r>
  </si>
  <si>
    <r>
      <t>Nachhol</t>
    </r>
    <r>
      <rPr>
        <sz val="10"/>
        <rFont val="Arial"/>
        <family val="2"/>
      </rPr>
      <t>abschreibung = 20 % der Preissteigerung × Anzahl d. vorausgegang. Abschreib.-perioden</t>
    </r>
  </si>
  <si>
    <t>die Anschaffungs-/Herstellungskosten aufgeschlagen und mit abgeschrieben.</t>
  </si>
  <si>
    <t>Die Anschaffungskosten des Anlagegutes werden gleichmäßig auf die Jahre der Nutzungsdauer aufgeteilt.</t>
  </si>
  <si>
    <t>Im ersten Jahr der Nutzungsdauer wird ein bestimmter Prozentsatz vom Anschaffungspreis des Gutes</t>
  </si>
  <si>
    <t>Geometrisch-degressive Abschreibung</t>
  </si>
  <si>
    <t>Arithmetisch-degressive (digitale) Abschreibung</t>
  </si>
  <si>
    <t>Der jährlich abzuschreibende Betrag bestimmt sich aus der konkreten Nutzung des Gutes im jeweiligen</t>
  </si>
  <si>
    <t>Jahr. Damit das Gut in einer festgelegten Zeit vollständig abgeschrieben werden kann, muss eine</t>
  </si>
  <si>
    <t>voraussichtliche Gesamtleistung angenommen werden.</t>
  </si>
  <si>
    <t>jährliche Kosten</t>
  </si>
  <si>
    <t>Zinsanspruch:</t>
  </si>
  <si>
    <t>der Herstellungskosten</t>
  </si>
  <si>
    <t>bei 25 Jahre Nutzungsdauer</t>
  </si>
  <si>
    <t>Alternativ zu einer Kalkulation auf Basis der Herstellungskosten ist auch die Ansatz eines Mietzinses</t>
  </si>
  <si>
    <t>denkbar, wenn entsprechende Informationen vorhanden sind.</t>
  </si>
  <si>
    <t>ggf. Kfz-Steuer *), Gebühren</t>
  </si>
  <si>
    <t>für</t>
  </si>
  <si>
    <t>ca.</t>
  </si>
  <si>
    <t>der Anschaffungskosten</t>
  </si>
  <si>
    <t>In der Praxis werden die jährlichen Versicherungskosten häufig vereinfachend mit</t>
  </si>
  <si>
    <t>Selbstfahrer (auch MD)</t>
  </si>
  <si>
    <t>halle. Da es sehr aufwendig ist die Kosten genau zu erfassen, werden in der Praxis die jährlichen</t>
  </si>
  <si>
    <t>Aus den KTBL-Daten lassen sich folgende Sätze ableiten:</t>
  </si>
  <si>
    <t>Praxis-Tipp</t>
  </si>
  <si>
    <t>vereinfachend auch die jährlichen Kosten für Unterbringung und Versicherung an den Anschaffungs-</t>
  </si>
  <si>
    <t>pauschal</t>
  </si>
  <si>
    <t>kosten (A) einer Maschine bemessen:</t>
  </si>
  <si>
    <t>Wie oben ausgeführt, werden in der Praxis oft nicht nur Abschreibung und Zinsanspruch, sondern</t>
  </si>
  <si>
    <t>pauschal 1% von den Anschaffungskosten geschätzt.</t>
  </si>
  <si>
    <t>Betriebsstoffe, Verbrauchsmaterial, Hilfsstoffe</t>
  </si>
  <si>
    <t>Bsp.:</t>
  </si>
  <si>
    <t>l Dieselverbrauch je Stunde ×</t>
  </si>
  <si>
    <t>€ / l  =</t>
  </si>
  <si>
    <t>€ / Stunde</t>
  </si>
  <si>
    <t>50% erhöht (z.B. beim Tiefpflügen) werden.</t>
  </si>
  <si>
    <t>Der Schmierölverbrauch wird meist mit 1% des Dieselverbrauchs geschätzt.</t>
  </si>
  <si>
    <t>Hilfsstoffkosten (Zusammenfassung sonstiger Verbrauchsmittel, z.B. Bindegarn, Folie, usw.)</t>
  </si>
  <si>
    <t>Versicherung, Steuern, Gebühren</t>
  </si>
  <si>
    <t>ggf. Unterbringung (von Maschinen)</t>
  </si>
  <si>
    <t>ggf. Versicherung, Steuern, Gebühren</t>
  </si>
  <si>
    <t>(KTBL) beziehen sich auf folgende Veröffentlichungen: Taschenbuch Landwirtschaft, Datensammlung</t>
  </si>
  <si>
    <r>
      <t xml:space="preserve">Zusammenfassend </t>
    </r>
    <r>
      <rPr>
        <sz val="10"/>
        <rFont val="Arial"/>
        <family val="2"/>
      </rPr>
      <t xml:space="preserve">ergeben sich damit für die Abschreibung unterschiedliche </t>
    </r>
    <r>
      <rPr>
        <u/>
        <sz val="10"/>
        <rFont val="Arial"/>
        <family val="2"/>
      </rPr>
      <t>Zielsetzungen</t>
    </r>
    <r>
      <rPr>
        <sz val="10"/>
        <rFont val="Arial"/>
        <family val="2"/>
      </rPr>
      <t>:</t>
    </r>
  </si>
  <si>
    <t>so dass dort der jeweilige Bilanzwert des Anlagegutes immer weiter abnimmt.</t>
  </si>
  <si>
    <t>höheren Kapitalkosten als bei der linearen Abschreibung mit vereinfachter Ermittlung des Zinsan-</t>
  </si>
  <si>
    <t>dauer relevant für die Berechnung der Abschreibung ist, sondern die erwartete wirtschaftliche</t>
  </si>
  <si>
    <t>Nutzungsdauer (also der Zeitraum, in dem durch die Nutzung Geld erwirtschaftet wird).</t>
  </si>
  <si>
    <t>wertes aus dem Zinsfuß multipliziert mit der Hälfte der Anschaffungs-/Herstellungskosten.</t>
  </si>
  <si>
    <r>
      <t xml:space="preserve">anspruch alternativ auch mit Hilfe des </t>
    </r>
    <r>
      <rPr>
        <u/>
        <sz val="10"/>
        <rFont val="Arial"/>
        <family val="2"/>
      </rPr>
      <t>Annuitätenfaktors</t>
    </r>
    <r>
      <rPr>
        <sz val="10"/>
        <rFont val="Arial"/>
        <family val="2"/>
      </rPr>
      <t xml:space="preserve"> bestimmen. Der Wertminderung (AfA)</t>
    </r>
  </si>
  <si>
    <t>durchschnittlich zu verzinsende Anlagewert mehr als die Hälfte der Anschaffungs-/ Herstellungskosten</t>
  </si>
  <si>
    <t>beträgt (vgl. Übersicht</t>
  </si>
  <si>
    <t>wird dabei als progressiv unterstellt, was dazu führt, dass (je nach Zinsfuß und Nutzungsdauer) der</t>
  </si>
  <si>
    <t>Das KTBL veranschlagt für Gebäude (den oben erwähnten Differenzierungen folgend):</t>
  </si>
  <si>
    <t>Auslastung</t>
  </si>
  <si>
    <t>Exponent:</t>
  </si>
  <si>
    <r>
      <t xml:space="preserve">Korrekturfaktor  =  Auslastung in % </t>
    </r>
    <r>
      <rPr>
        <vertAlign val="superscript"/>
        <sz val="10"/>
        <rFont val="Arial"/>
        <family val="2"/>
      </rPr>
      <t>0,5</t>
    </r>
  </si>
  <si>
    <r>
      <t xml:space="preserve">Korrekturfaktor  =  Auslastung in % </t>
    </r>
    <r>
      <rPr>
        <vertAlign val="superscript"/>
        <sz val="10"/>
        <rFont val="Arial"/>
        <family val="2"/>
      </rPr>
      <t>0,35</t>
    </r>
  </si>
  <si>
    <t>entspricht:</t>
  </si>
  <si>
    <t>Maschinen mit niedrigem Verschleiß:</t>
  </si>
  <si>
    <t>Maschinen mit hohem Verschleiß:</t>
  </si>
  <si>
    <t>Die folgende Übersicht zeigt die Reparaturkosten-Korrekturfaktoren beispielhaft für Maschinen mit</t>
  </si>
  <si>
    <t>niedrigem Verschleiß als grafische Darstellung:</t>
  </si>
  <si>
    <t>Allgemeine Grundsätze</t>
  </si>
  <si>
    <t>Kalkulationszinsfuß (p)</t>
  </si>
  <si>
    <t xml:space="preserve">(A+R) / 2 × p </t>
  </si>
  <si>
    <t>Abschreibung (fest)</t>
  </si>
  <si>
    <t>Abschreibung (var)</t>
  </si>
  <si>
    <t>Kosten je Leistungseinheit nach Einzelpositionen</t>
  </si>
  <si>
    <t>Gesamtkosten je Jahr nach Einzelpositionen</t>
  </si>
  <si>
    <t>Gesamtkosten je Jahr (zusammengefasst)</t>
  </si>
  <si>
    <t>Kosten je Leistungseinheit (zusammengefasst)</t>
  </si>
  <si>
    <t>Alle Beträge in:</t>
  </si>
  <si>
    <t>Leistungseinheit:</t>
  </si>
  <si>
    <t>Bemerkungen:</t>
  </si>
  <si>
    <t>- Restwert ist für alle Varianten vereinfachend identisch</t>
  </si>
  <si>
    <t xml:space="preserve">  (ohne Berücksichtigung des Einflusses unterschiedlicher Auslastung)</t>
  </si>
  <si>
    <t>- Reparaturkostenfaktor  =  Auslastung in % "hoch" Exponent</t>
  </si>
  <si>
    <t>Abschreibungsschwelle (n / N)</t>
  </si>
  <si>
    <t>Feste Kosten insgesamt</t>
  </si>
  <si>
    <t>Variable Kosten insgesamt</t>
  </si>
  <si>
    <t>Gesamtkosten</t>
  </si>
  <si>
    <t>je Jahr</t>
  </si>
  <si>
    <t xml:space="preserve">  Gesamtkosten</t>
  </si>
  <si>
    <t>Diagramme zur</t>
  </si>
  <si>
    <t>(A + R) / 2 × p</t>
  </si>
  <si>
    <t>Arbeitszeit bestimmt (Fremdlohn oder Nutzungskosten).</t>
  </si>
  <si>
    <t>je h</t>
  </si>
  <si>
    <t>(Variable + Feste Kosten)</t>
  </si>
  <si>
    <t>1)</t>
  </si>
  <si>
    <t>Wartungskosten wurden nicht aufgenommen. Ihre Höhe wird maßgeblich von der Bewertung der</t>
  </si>
  <si>
    <r>
      <t xml:space="preserve">GESAMTKOSTEN </t>
    </r>
    <r>
      <rPr>
        <b/>
        <vertAlign val="superscript"/>
        <sz val="10"/>
        <rFont val="Arial"/>
        <family val="2"/>
      </rPr>
      <t>1) 2)</t>
    </r>
  </si>
  <si>
    <t>2)</t>
  </si>
  <si>
    <t>Reparaturkostenrichtwerte</t>
  </si>
  <si>
    <t>bei insg.</t>
  </si>
  <si>
    <r>
      <t xml:space="preserve">h    </t>
    </r>
    <r>
      <rPr>
        <sz val="10"/>
        <rFont val="Symbol"/>
        <family val="1"/>
        <charset val="2"/>
      </rPr>
      <t>®</t>
    </r>
  </si>
  <si>
    <t>Korrekturfaktor</t>
  </si>
  <si>
    <r>
      <t xml:space="preserve">Auslastung </t>
    </r>
    <r>
      <rPr>
        <sz val="10"/>
        <rFont val="Symbol"/>
        <family val="1"/>
        <charset val="2"/>
      </rPr>
      <t>®</t>
    </r>
  </si>
  <si>
    <t xml:space="preserve">® </t>
  </si>
  <si>
    <t>Diesel</t>
  </si>
  <si>
    <t>Schmieröl</t>
  </si>
  <si>
    <t xml:space="preserve">l / h  × </t>
  </si>
  <si>
    <t>€ / h</t>
  </si>
  <si>
    <t xml:space="preserve"> (Diesel + Schmieröl)</t>
  </si>
  <si>
    <r>
      <t xml:space="preserve">Schmieröl </t>
    </r>
    <r>
      <rPr>
        <sz val="8"/>
        <rFont val="Arial"/>
        <family val="2"/>
      </rPr>
      <t>(pauschal 1% des Dieselverbrauchs)</t>
    </r>
  </si>
  <si>
    <t>Unterbringung pauschal</t>
  </si>
  <si>
    <t>Buchwert (im Falle eines des vorhandenen MD)</t>
  </si>
  <si>
    <t>Beispielhafte Maschinenkostenrechnungen</t>
  </si>
  <si>
    <r>
      <t xml:space="preserve">In nachfolgender Übersicht ist die Ermittlung der variablen und festen Kosten einer </t>
    </r>
    <r>
      <rPr>
        <u/>
        <sz val="10"/>
        <rFont val="Arial"/>
        <family val="2"/>
      </rPr>
      <t>neuen</t>
    </r>
    <r>
      <rPr>
        <sz val="10"/>
        <rFont val="Arial"/>
        <family val="2"/>
      </rPr>
      <t xml:space="preserve"> Maschine,</t>
    </r>
  </si>
  <si>
    <t>Variable Kosten je ha</t>
  </si>
  <si>
    <t>Variable Kosten je Jahr</t>
  </si>
  <si>
    <t>Feste Kosten je ha</t>
  </si>
  <si>
    <t>Gesamtkosten je ha</t>
  </si>
  <si>
    <t>Maschinenkostenberechnung für einen gebrauchten Mähdrescher</t>
  </si>
  <si>
    <t>Nutzungsdauer nach Zeit insgesamt (N)</t>
  </si>
  <si>
    <r>
      <t>Restnutzungsdauer des Mähdreschers(N</t>
    </r>
    <r>
      <rPr>
        <sz val="6"/>
        <rFont val="Arial"/>
        <family val="2"/>
      </rPr>
      <t>rest</t>
    </r>
    <r>
      <rPr>
        <sz val="10"/>
        <rFont val="Arial"/>
        <family val="2"/>
      </rPr>
      <t>)</t>
    </r>
  </si>
  <si>
    <t>Nutzungsdauer nach Leistung insgesamt (n)</t>
  </si>
  <si>
    <t>ha   =</t>
  </si>
  <si>
    <t>von n</t>
  </si>
  <si>
    <t>Bereits verbrauchte Leistung (von n):</t>
  </si>
  <si>
    <t>Neuwert (zum Vergleich)</t>
  </si>
  <si>
    <t>Bereits verbrauchte Nutzungsdauer (von N)</t>
  </si>
  <si>
    <t>Jährlicher Einsatzumfang für die verbleibende Nutzungsdauer:</t>
  </si>
  <si>
    <t>Voraussichtliches Ende der Nutzungsdauer bei:</t>
  </si>
  <si>
    <t>Anschaffungskosten (bzw. Veräußerungswert d. vorh. MD)</t>
  </si>
  <si>
    <t>Betriebstoffe:</t>
  </si>
  <si>
    <t>im Durchschnitt der Gesamtleistung</t>
  </si>
  <si>
    <t>Reparatur:</t>
  </si>
  <si>
    <t>(Faktor:</t>
  </si>
  <si>
    <t>Betriebstoffe</t>
  </si>
  <si>
    <t>Handelt es sich um eine Kalkulation für die Weiternutzung einer bereits vorhandenen Maschine, ist zu</t>
  </si>
  <si>
    <t>beachten, dass für Abschreibung und Zinsanspruch der tatsächliche Veräußerungswert als Berech-</t>
  </si>
  <si>
    <t>nungsbasis zu verwenden ist und nicht der (rein theoretische) Buchwert.</t>
  </si>
  <si>
    <t>Die Abschreibung berechnet sich auf Basis der verbleibenden Restnutzungsdauer und der (beim</t>
  </si>
  <si>
    <t>Kauf einer Gebrauchtmaschine anfallenden) Anschaffungskosten.</t>
  </si>
  <si>
    <t>Der Reparaturkostenrichtwert (gültig für die potentielle Gesamtleistung n) ist entsprechend der bereits</t>
  </si>
  <si>
    <t>verbrauchten und der noch erwarteten Leistung zu korrigieren (mit Faktor gemäß Übersicht</t>
  </si>
  <si>
    <t>Gebrauchtmaschinen</t>
  </si>
  <si>
    <t>Neumaschinen</t>
  </si>
  <si>
    <t>Die Berechnung der Kosten für Gebrauchtmaschinen erfolgt analog der Berechnung für Neumaschinen.</t>
  </si>
  <si>
    <t>Nutzungsabhänigkeit werden grundsätzlich unterschieden:</t>
  </si>
  <si>
    <t>anderer Art (die nicht durch Abnutzung bedingt sind) beinhaltet.</t>
  </si>
  <si>
    <t>wie viel Geld muss ich jährlich erwirtschaften um die Substanz meines Betriebes zu erhalten?</t>
  </si>
  <si>
    <t>Das Ziel der nominalen Substanzerhaltung wird erreicht (vgl. Abschreibung auf</t>
  </si>
  <si>
    <t>Der Umstand, dass durch die degressiven AfA-Beträge der Buchwert nie den Wert Null erreichen kann</t>
  </si>
  <si>
    <t xml:space="preserve">Wert am Anfang (Anschaffungskosten) und dem Wert am Ende (Restwert). </t>
  </si>
  <si>
    <t>Näherungsweise kann die Inflationsbereinigung durch einfaches Subtrahieren geschehen:</t>
  </si>
  <si>
    <t>bei einem Annuitätendarlehen ausgegangen werden kann, können die Kosten mit Hilfe des Annuitäten-</t>
  </si>
  <si>
    <t>Abschreibung je Jahr bei linearer Abschreibung wird deutlich, in welcher Größenordnung der Landwirt</t>
  </si>
  <si>
    <t>diese Gewinnanteile bei linearer Abschreibung mit einem Substanzverlust verbunden sind bzw. rein-</t>
  </si>
  <si>
    <t>vestiert werden müssen, um einen solchen zu vermeiden, werden sie als Scheingewinne bezeichnet.</t>
  </si>
  <si>
    <t>Die Scheingewinne sind bei linearer Abschreibung umso höher je stärker die Preise steigen und je</t>
  </si>
  <si>
    <t>gesetzt) bei hoher Inflationsrate und bei hohen Investitionen in abzuschreibendes Anlagevermögen am</t>
  </si>
  <si>
    <t>größten ist. Die Verwendung dieser Abschreibungsmethode ist besonders in Staaten mit hohen</t>
  </si>
  <si>
    <t>Inflationsraten von größter Relevanz.</t>
  </si>
  <si>
    <t>Leistungsabschreibung</t>
  </si>
  <si>
    <t>Die Leistungsabschreibung spielt in Gewinnermittlungsbilanzen und Kostenrechnungen nur dann eine</t>
  </si>
  <si>
    <t>Rolle, wenn von Jahr zu Jahr sehr unterschiedliche Einsatzzeiten anfallen.</t>
  </si>
  <si>
    <t>Gesamtleistung</t>
  </si>
  <si>
    <t>Der Zinsanspruch beinhaltet sowohl die zu entrichtenden Zinsen für Fremdkapital, als auch</t>
  </si>
  <si>
    <t xml:space="preserve">den Zinsansatz für Eigenkapital. Die Höhe des Zinsanspruchs hängt ab </t>
  </si>
  <si>
    <t>von der Höhe des durchschnittlich zu verzinsenden Anlagewertes und</t>
  </si>
  <si>
    <t>von der Höhe des Kalkulationszinsfußes.</t>
  </si>
  <si>
    <t>Durchschnittlich zu verzinsender Anlagewert</t>
  </si>
  <si>
    <t>a)</t>
  </si>
  <si>
    <t xml:space="preserve">Anschaffungskosten – Restwert  </t>
  </si>
  <si>
    <t xml:space="preserve">Anschaffungskosten + Restwert  </t>
  </si>
  <si>
    <t>———————————————</t>
  </si>
  <si>
    <t>+ Restwert  =</t>
  </si>
  <si>
    <t>2</t>
  </si>
  <si>
    <t>b)</t>
  </si>
  <si>
    <t>Der durchschnittlich zu verzinsende Anlagewert ist bei progressiver Abschreibung, d.h. bei einer</t>
  </si>
  <si>
    <t>Abschreibung entsprechend des Tilgungsverlaufs bei einem Annuitätendarlehen, abhängig von der</t>
  </si>
  <si>
    <t>Nutzungsdauer und dem Kalkulationszinsfuß.</t>
  </si>
  <si>
    <t>Nutzungsdauer</t>
  </si>
  <si>
    <t>Der sachgerechte Kalkulationszinsfuß</t>
  </si>
  <si>
    <r>
      <t xml:space="preserve">Der Kalkulationszinsfuß für das </t>
    </r>
    <r>
      <rPr>
        <b/>
        <sz val="10"/>
        <rFont val="Arial"/>
        <family val="2"/>
      </rPr>
      <t xml:space="preserve">Eigenkapital </t>
    </r>
    <r>
      <rPr>
        <sz val="10"/>
        <rFont val="Arial"/>
        <family val="2"/>
      </rPr>
      <t>ergibt sich alternativ:</t>
    </r>
  </si>
  <si>
    <t>Bei einer Kalkulation mit konstanten bzw. realen Preisen sind die so ermittelten (nominalen)</t>
  </si>
  <si>
    <r>
      <t>S</t>
    </r>
    <r>
      <rPr>
        <sz val="8"/>
        <rFont val="Arial"/>
        <family val="2"/>
      </rPr>
      <t xml:space="preserve"> N =</t>
    </r>
  </si>
  <si>
    <r>
      <t>S</t>
    </r>
    <r>
      <rPr>
        <sz val="8"/>
        <rFont val="Arial"/>
        <family val="2"/>
      </rPr>
      <t xml:space="preserve"> N</t>
    </r>
  </si>
  <si>
    <t>A</t>
  </si>
  <si>
    <t>Bei linearer, progressiver und arithmetisch-degressiver AfA folgt der durchschnittliche Anlagewert</t>
  </si>
  <si>
    <t>Der mittlere Buchwert eines Anlagegutes (und damit der durchschnittlich zu verzinsende Anlagewert)</t>
  </si>
  <si>
    <t>ist bei linearer Abschreibung mathematisch einfach zu bestimmen als der Mittelwert zwischen dem</t>
  </si>
  <si>
    <t>Ohne Restwert</t>
  </si>
  <si>
    <t>Mit Restwert</t>
  </si>
  <si>
    <t>bei linearer Abschreibung</t>
  </si>
  <si>
    <t>in Abhängigkeit von Nutzungsdauer und Zinsfuß bei progressiver AfA</t>
  </si>
  <si>
    <t>Ist der Restwert gleich 0 , beträgt der durchschnittlich zu verzinsende Anlagewert demnach:  A / 2</t>
  </si>
  <si>
    <t>c)</t>
  </si>
  <si>
    <t>abhängig von der Nutzungsdauer des Anlagegutes.</t>
  </si>
  <si>
    <t>in Abhängigkeit von der Nutzungsdauer bei Arithmetisch-degressiver AfA</t>
  </si>
  <si>
    <t>Der durchschnittlich zu verzinsende Anlagewert nimmt mit zunehmender Nutzungsdauer ab!</t>
  </si>
  <si>
    <t xml:space="preserve">Der durchschnittlich zu verzinsende Anlagewert </t>
  </si>
  <si>
    <t>nimmt mit zunehmender Nutzungsdauer zu!</t>
  </si>
  <si>
    <t>nimmt mit zunehmender Zinsfuß zu!</t>
  </si>
  <si>
    <t>i</t>
  </si>
  <si>
    <r>
      <t xml:space="preserve">K </t>
    </r>
    <r>
      <rPr>
        <vertAlign val="subscript"/>
        <sz val="8"/>
        <rFont val="Arial"/>
        <family val="2"/>
      </rPr>
      <t>j</t>
    </r>
  </si>
  <si>
    <r>
      <t xml:space="preserve">K </t>
    </r>
    <r>
      <rPr>
        <vertAlign val="subscript"/>
        <sz val="10"/>
        <rFont val="Arial"/>
        <family val="2"/>
      </rPr>
      <t>j</t>
    </r>
    <r>
      <rPr>
        <sz val="10"/>
        <rFont val="Arial"/>
        <family val="2"/>
      </rPr>
      <t xml:space="preserve">   =   A   ×</t>
    </r>
  </si>
  <si>
    <t>=  Anschaffungskosten</t>
  </si>
  <si>
    <t>faktors alternativ wie folgt ermittelt werden:</t>
  </si>
  <si>
    <t>=  Kalkulationszinfuß als Dezimalzahl (Bsp.: bei 10% gilt:  i = 0,1)</t>
  </si>
  <si>
    <t>aus dem nominalen Zinsertrag einer alternativen innerbetrieblichen Anlage/Investition,</t>
  </si>
  <si>
    <t>aus dem nominalen Zinsertrag einer alternativen außerbetrieblichen Anlage/Investition,</t>
  </si>
  <si>
    <t>Beim Vergleich mit alternativen Anlagen/Investitionen ist stets zu beachten, dass eine in etwa gleiche</t>
  </si>
  <si>
    <t>Grundsätzlich gilt:</t>
  </si>
  <si>
    <t>an sein Investitionsobjekt dar.</t>
  </si>
  <si>
    <r>
      <t xml:space="preserve">Der Kalkulationszinsfuß für </t>
    </r>
    <r>
      <rPr>
        <b/>
        <sz val="10"/>
        <rFont val="Arial"/>
        <family val="2"/>
      </rPr>
      <t>Fremdkapital</t>
    </r>
    <r>
      <rPr>
        <sz val="10"/>
        <rFont val="Arial"/>
        <family val="2"/>
      </rPr>
      <t xml:space="preserve"> bemisst sich am Zinssatz der für die Überlassung des</t>
    </r>
  </si>
  <si>
    <t>Kapitals gezahlt werden muss ("Darlehenszins", "Sollzins").</t>
  </si>
  <si>
    <r>
      <t xml:space="preserve">Wird eine Investition mit </t>
    </r>
    <r>
      <rPr>
        <b/>
        <sz val="10"/>
        <rFont val="Arial"/>
        <family val="2"/>
      </rPr>
      <t>Eigenkapital und Fremdkapital</t>
    </r>
    <r>
      <rPr>
        <sz val="10"/>
        <rFont val="Arial"/>
        <family val="2"/>
      </rPr>
      <t xml:space="preserve"> finanziert ergibt sich der Kalkulations-</t>
    </r>
  </si>
  <si>
    <t>= Gesamtkapital</t>
  </si>
  <si>
    <t>+ Fremdkapital</t>
  </si>
  <si>
    <t>Eigenkapital</t>
  </si>
  <si>
    <t>fuß</t>
  </si>
  <si>
    <t>anteil</t>
  </si>
  <si>
    <t>anteil.</t>
  </si>
  <si>
    <t>Kapital-</t>
  </si>
  <si>
    <t>®</t>
  </si>
  <si>
    <t>Tilgung</t>
  </si>
  <si>
    <t>Fremdkapital</t>
  </si>
  <si>
    <t>Gesamtkapital</t>
  </si>
  <si>
    <t xml:space="preserve">Ø </t>
  </si>
  <si>
    <t>S</t>
  </si>
  <si>
    <t>Laufzeit für Darlehen:</t>
  </si>
  <si>
    <t>Zins für Darlehen:</t>
  </si>
  <si>
    <t>Nutzungskosten für Eigenkapital:</t>
  </si>
  <si>
    <t>Tilgungsdauer ist ändert sich das Verhältnis von Fremdkapital zu Eigenkapital während der</t>
  </si>
  <si>
    <t>Wenn (bei linearer Abschreibung und linearer Tilgung) die Abschreibungsdauer länger als die</t>
  </si>
  <si>
    <t>Abschreibung und Tilgung verlaufen linear (in gleichen Beträgen)</t>
  </si>
  <si>
    <t>Fall 2:</t>
  </si>
  <si>
    <t>von Eigen- zu Fremdkapital am Anfang (Zeitpunkt 0) zugrundelegt, da dieses Verhältnis auch dem</t>
  </si>
  <si>
    <t>Der mittlere Kalkulationszinsfuß lässt sich demnach leicht berechnen, indem man das Verhältnis</t>
  </si>
  <si>
    <t>Tilgungsdauer ist bleibt das Verhältnis von Fremdkapital zu Eigenkapital über die gesamte</t>
  </si>
  <si>
    <t>Wenn (bei linearer Abschreibung und linearer Tilgung) die Abschreibungsdauer gleich der</t>
  </si>
  <si>
    <t>Fall 1:</t>
  </si>
  <si>
    <t>abzgl. Inflationsrate</t>
  </si>
  <si>
    <t>–––––––––––––</t>
  </si>
  <si>
    <t>–   1  =</t>
  </si>
  <si>
    <t>––––––</t>
  </si>
  <si>
    <t>1  +  Infl.-Rate</t>
  </si>
  <si>
    <t>Kalkulationszinsfuß nominal</t>
  </si>
  <si>
    <t>Kalkulationszinsfuß real</t>
  </si>
  <si>
    <t>Methodisch sachgerecht (genauer) ist die Inflationsbereinigung wie folgt durchzuführen:</t>
  </si>
  <si>
    <r>
      <t xml:space="preserve"> 1 +  KZF</t>
    </r>
    <r>
      <rPr>
        <sz val="6"/>
        <rFont val="Arial"/>
        <family val="2"/>
      </rPr>
      <t>nom</t>
    </r>
  </si>
  <si>
    <r>
      <t>KZF</t>
    </r>
    <r>
      <rPr>
        <sz val="6"/>
        <rFont val="Arial"/>
        <family val="2"/>
      </rPr>
      <t>real</t>
    </r>
    <r>
      <rPr>
        <sz val="10"/>
        <rFont val="Arial"/>
        <family val="2"/>
      </rPr>
      <t xml:space="preserve">     =</t>
    </r>
  </si>
  <si>
    <t>(Abschreibung und Tilgung verlaufen linear (in gleichen Beträgen))</t>
  </si>
  <si>
    <r>
      <t>K</t>
    </r>
    <r>
      <rPr>
        <vertAlign val="subscript"/>
        <sz val="10"/>
        <rFont val="Arial"/>
        <family val="2"/>
      </rPr>
      <t xml:space="preserve"> e</t>
    </r>
    <r>
      <rPr>
        <sz val="10"/>
        <rFont val="Arial"/>
        <family val="2"/>
      </rPr>
      <t xml:space="preserve">  </t>
    </r>
    <r>
      <rPr>
        <sz val="10"/>
        <rFont val="Arial"/>
        <family val="2"/>
      </rPr>
      <t>+  K</t>
    </r>
    <r>
      <rPr>
        <vertAlign val="subscript"/>
        <sz val="10"/>
        <rFont val="Arial"/>
        <family val="2"/>
      </rPr>
      <t xml:space="preserve"> f</t>
    </r>
  </si>
  <si>
    <r>
      <t>K</t>
    </r>
    <r>
      <rPr>
        <vertAlign val="subscript"/>
        <sz val="9"/>
        <rFont val="Arial"/>
        <family val="2"/>
      </rPr>
      <t xml:space="preserve"> e</t>
    </r>
    <r>
      <rPr>
        <sz val="10"/>
        <rFont val="Arial"/>
        <family val="2"/>
      </rPr>
      <t/>
    </r>
  </si>
  <si>
    <r>
      <t>K</t>
    </r>
    <r>
      <rPr>
        <vertAlign val="subscript"/>
        <sz val="9"/>
        <rFont val="Arial"/>
        <family val="2"/>
      </rPr>
      <t xml:space="preserve"> f</t>
    </r>
    <r>
      <rPr>
        <sz val="10"/>
        <rFont val="Arial"/>
        <family val="2"/>
      </rPr>
      <t/>
    </r>
  </si>
  <si>
    <r>
      <t>p</t>
    </r>
    <r>
      <rPr>
        <vertAlign val="subscript"/>
        <sz val="9"/>
        <rFont val="Arial"/>
        <family val="2"/>
      </rPr>
      <t xml:space="preserve"> e</t>
    </r>
    <r>
      <rPr>
        <sz val="10"/>
        <rFont val="Arial"/>
        <family val="2"/>
      </rPr>
      <t/>
    </r>
  </si>
  <si>
    <r>
      <t>p</t>
    </r>
    <r>
      <rPr>
        <vertAlign val="subscript"/>
        <sz val="9"/>
        <rFont val="Arial"/>
        <family val="2"/>
      </rPr>
      <t xml:space="preserve"> f</t>
    </r>
  </si>
  <si>
    <t>Ermittlung der Kapitalkosten mit Hilfe des Annuitätenfaktors</t>
  </si>
  <si>
    <t>Die Kapitalkosten setzen sich zusammen aus:</t>
  </si>
  <si>
    <t>Kosten für den Verbrauch von Kapital (= Abschreibungen) und</t>
  </si>
  <si>
    <t>Kosten für den Gebrauch von Kapital (= Zinsanspruch).</t>
  </si>
  <si>
    <t>Bei linearer Abschreibung werden diese Kosten wie folgt ermittelt:</t>
  </si>
  <si>
    <t>Abschreibung:</t>
  </si>
  <si>
    <t>Für Fälle, in welchen kein Restwert vorhanden ist und von einer Abschreibung entsprechend der Tilgung</t>
  </si>
  <si>
    <t>=  Kapitalkosten (Abschreibung + Zinsanspruch) je Jahr</t>
  </si>
  <si>
    <t>n</t>
  </si>
  <si>
    <t>=  Nutzungsdauer in Jahren</t>
  </si>
  <si>
    <t>———————————————————</t>
  </si>
  <si>
    <t>Nutzungsdauer nach Leistung (n)</t>
  </si>
  <si>
    <t>Reparaturkosten</t>
  </si>
  <si>
    <r>
      <t>Restnutzungsdauer des Mähdreschers(N</t>
    </r>
    <r>
      <rPr>
        <sz val="6"/>
        <rFont val="Arial"/>
        <family val="2"/>
      </rPr>
      <t>rest</t>
    </r>
    <r>
      <rPr>
        <sz val="10"/>
        <rFont val="Arial"/>
        <family val="2"/>
      </rPr>
      <t>)</t>
    </r>
  </si>
  <si>
    <t>Maschinenkosten-Berechnung für:</t>
  </si>
  <si>
    <t>Anschaffungskosten (bzw. Veräußerungswert d. vorhand. MD)</t>
  </si>
  <si>
    <t xml:space="preserve">für Restnutzung </t>
  </si>
  <si>
    <t>€ / ha</t>
  </si>
  <si>
    <t>In diesem Fall bemisst sich die AfA vom Zeitpunkt des Übergangs an nach dem dann noch</t>
  </si>
  <si>
    <t>vorhandenen Restwert und der Restnutzungsdauer des einzelnen Wirtschaftsguts.</t>
  </si>
  <si>
    <t>Abschreibung überzugehen, in dem die lineare Abschreibung höher ist als die fortgesetzte degressive</t>
  </si>
  <si>
    <t>Im obigen Beispiel wäre das ab dem Jahr 4 der Fall. Allerdings ist die gezeigte Rechnung als</t>
  </si>
  <si>
    <t>dem noch übrigen Wert des Gutes (Restbuchwert) abgeschrieben. Die abzuschreibenden Beträge</t>
  </si>
  <si>
    <t>werden mit dieser Methode folglich immer kleiner, das Gut ist am Ende der geplanten Nutzungsdauer</t>
  </si>
  <si>
    <t>festgelegt und abgeschrieben. In den darauffolgenden Jahren wird dieser festgelegte Prozentsatz von</t>
  </si>
  <si>
    <t>komplett abgeschrieben werden.</t>
  </si>
  <si>
    <t>führt auch dazu, dass der AfA-Satz nur unter Festlegung eines bestimmten Restwertes berechnet</t>
  </si>
  <si>
    <t>Teile seines nominalen Gewinns für die Finanzierung seiner Ersatzinvestitionen heranziehen muss. Da</t>
  </si>
  <si>
    <t>Einfluss der Inflation</t>
  </si>
  <si>
    <t>2.5</t>
  </si>
  <si>
    <t>3.3</t>
  </si>
  <si>
    <t>3.4</t>
  </si>
  <si>
    <t>Zinsanspruch (Finanzierungskosten)</t>
  </si>
  <si>
    <t>-</t>
  </si>
  <si>
    <t xml:space="preserve">1    </t>
  </si>
  <si>
    <t>·</t>
  </si>
  <si>
    <t>Zinsanspruch</t>
  </si>
  <si>
    <t xml:space="preserve">     </t>
  </si>
  <si>
    <t xml:space="preserve">a) Technische und materialmäßige Überalterung und </t>
  </si>
  <si>
    <t>Bei Anwendung des Annuitätenfaktors wird die Wertminderung (AfA) als progressiv unterstellt, was</t>
  </si>
  <si>
    <t>dazu führt, dass (je nach Zinsfuß und Nutzungsdauer) der durchschnittlich zu verzinsende Anlagewert</t>
  </si>
  <si>
    <r>
      <t xml:space="preserve">mehr als die Hälfte der Anschaffungs-/ Herstellungskosten beträgt </t>
    </r>
    <r>
      <rPr>
        <sz val="8"/>
        <rFont val="Arial"/>
        <family val="2"/>
      </rPr>
      <t>(vgl. Übersicht</t>
    </r>
  </si>
  <si>
    <t>zur Kostenberechnung eingesetzt wird, unterscheidet in der ersten Gliederungsebene folgende</t>
  </si>
  <si>
    <t>Kostengruppen:</t>
  </si>
  <si>
    <t>Planungsorientierte Gliederung in drei Ebenen (DIN 276)</t>
  </si>
  <si>
    <t>Funktionsbezogene Gliederung nach Kostenblöcken</t>
  </si>
  <si>
    <t xml:space="preserve">Grundstück </t>
  </si>
  <si>
    <t xml:space="preserve">Herrichten und Erschließen </t>
  </si>
  <si>
    <t xml:space="preserve">Bauwerk - Baukonstruktionen </t>
  </si>
  <si>
    <t xml:space="preserve">Bauwerk - Technische Anlagen </t>
  </si>
  <si>
    <t xml:space="preserve">Außenanlagen </t>
  </si>
  <si>
    <t xml:space="preserve">Ausstattung und Kunstwerke </t>
  </si>
  <si>
    <t>Baunebenkosten</t>
  </si>
  <si>
    <t>Gebäudegrobelemente und in der dritten Gliederungsebene eine weitere Unterteilung in</t>
  </si>
  <si>
    <t xml:space="preserve">Gebäudeelemente vor. </t>
  </si>
  <si>
    <t>In einer zweiten Gliederungsebene sieht die DIN 276 eine Unterteilung in konstruktionsbezogene</t>
  </si>
  <si>
    <t>Hier einige Beispiele für die Kostengruppe 400 (Bauwerk - Technische Anlagen):</t>
  </si>
  <si>
    <t>Abwasser-, Wasser-, Gasanlagen </t>
  </si>
  <si>
    <t>411 Abwasseranlagen</t>
  </si>
  <si>
    <t>412 Wasseranlagen</t>
  </si>
  <si>
    <t>Wärmeversorgungsanlagen</t>
  </si>
  <si>
    <t>421 Wärmeerzeugungsanlagen</t>
  </si>
  <si>
    <t>422 Wärmeverteilnetze</t>
  </si>
  <si>
    <t>Lufttechnische Anlagen</t>
  </si>
  <si>
    <t>431 Lüftungsanlagen</t>
  </si>
  <si>
    <t>439 Lufttechnische Anlagen, Sonstiges</t>
  </si>
  <si>
    <t>Starkstromanlagen</t>
  </si>
  <si>
    <t>441 Hoch- und Mittelspannungsanlagen</t>
  </si>
  <si>
    <t>442 Eigenstromversorgungsanlagen</t>
  </si>
  <si>
    <t xml:space="preserve">Nutzungsspezifische Anlagen </t>
  </si>
  <si>
    <t xml:space="preserve"> Landwirtschaft</t>
  </si>
  <si>
    <t>479.10 Aufstallung</t>
  </si>
  <si>
    <t>479.20 Fütterung</t>
  </si>
  <si>
    <t>479.30 Entmistung</t>
  </si>
  <si>
    <t>479.40 Tierproduktentnahme und -lagerung</t>
  </si>
  <si>
    <t>479.50 Pflanzliche Produkte und -lagerung</t>
  </si>
  <si>
    <t>Gebäudeelemente (unvollständig)</t>
  </si>
  <si>
    <t>Gebäudegrobelemente (unvollständig)</t>
  </si>
  <si>
    <t>jedoch gute Vergleichsmöglichkeiten der einzelnen Kostengruppen mit eigenen Kostenvoranschlägen.</t>
  </si>
  <si>
    <t>Für eine vollständige Liste der Gebäudeelemente mit Erläuterungen siehe www.ktbl.de &gt; Stallbau</t>
  </si>
  <si>
    <t>Zur Spezifizierung von Gebäuden und Beurteilung der Baukosten können verschiedene Kenngrößen als</t>
  </si>
  <si>
    <t>Bezugseinheit herangezogen werden. Neben der Nutzeinheit, zum Beispiel einem Stallplatz, werden</t>
  </si>
  <si>
    <t>vorwiegend Grundflächen und Rauminhalte von Bauwerken verwendet. Die Begriffe und Berechnungsver-</t>
  </si>
  <si>
    <t>fahren sind zum Teil in der DIN 277 "Grundflächen und Rauminhalte von Bauwerken im Hochbau"</t>
  </si>
  <si>
    <t>festgelegt. Folgende Kenngrößen sind in der Landwirtschaft von Bedeutung:</t>
  </si>
  <si>
    <t>Spezifizierung von Gebäuden</t>
  </si>
  <si>
    <t>Solche Normdaten werden u. a. vom KTBL veröffentlicht. Für Beispiele sei hier auf das Taschenbuch</t>
  </si>
  <si>
    <t>Landwirtschaft verwiesen.</t>
  </si>
  <si>
    <t>Absetzung für Abnutzung (AfA, Abschreibung)</t>
  </si>
  <si>
    <t>verändert. Kosten für ein Anlagegut entstehen erst, wenn es durch den Gebrauch im Lauf der Zeit an</t>
  </si>
  <si>
    <t>Wert verliert (Abnutzung).</t>
  </si>
  <si>
    <t>Gliederung der Kosten dauerhafter Betriebsmittel</t>
  </si>
  <si>
    <t>Dauerhafte Betriebsmittel umfassen jene Vermögensgegenstände, die dem Betrieb längerfristig (&gt;1Jahr)</t>
  </si>
  <si>
    <t>Boden</t>
  </si>
  <si>
    <t>(X)</t>
  </si>
  <si>
    <t>zur Nutzung zur Verfügung stehen. Dazu gehören Grund und Boden, Bodenverbesserungen (Melioratio-</t>
  </si>
  <si>
    <t>Geb.</t>
  </si>
  <si>
    <t>Melior.</t>
  </si>
  <si>
    <t>Dauerk.</t>
  </si>
  <si>
    <t>Masch.</t>
  </si>
  <si>
    <r>
      <t xml:space="preserve">ggf. Betriebsstoffkosten </t>
    </r>
    <r>
      <rPr>
        <sz val="8"/>
        <rFont val="Arial"/>
        <family val="2"/>
      </rPr>
      <t>(Treibstoff, Öl, Elektrizität, Hilfsstoffe, Verbrauchsmaterial)</t>
    </r>
  </si>
  <si>
    <t>In der Kostenrechnung bezeichnet man den jährlichen Betrag der Wertminderung als "Absetzung für</t>
  </si>
  <si>
    <t>Abnutzung" (= AfA). Häufig wird die AfA in der Praxis auch vereinfachend als "Abschreibung"</t>
  </si>
  <si>
    <t>bezeichnet, obwohl der Begriff Abschreibung eigentlich weiter gefasst ist und auch Wertminderungen</t>
  </si>
  <si>
    <t>Darin sind auch der Reifenverschleiß und die Arbeitskosten für selbst ausgeführte Reparaturarbeiten</t>
  </si>
  <si>
    <t>enthalten. Aus dem umfangreichen Datenbestand ist es möglich den zu erwartenden durchschnittlichen</t>
  </si>
  <si>
    <t>Verlauf der Reparaturkosten abzuschätzen.</t>
  </si>
  <si>
    <t>Bei der Festlegung des Kraftstoffpreises sind zu beachten:</t>
  </si>
  <si>
    <t>Umsatzsteuer:</t>
  </si>
  <si>
    <t>Gasölverbilligung:</t>
  </si>
  <si>
    <t xml:space="preserve">In Deutschland erhalten Landwirte einen Teil der Kosten für Kraftstoffe </t>
  </si>
  <si>
    <t>Bei pauschalierenden Betrieben Kalkulation mit Brutto-Preis (inkl. USt).</t>
  </si>
  <si>
    <t>Bei Regelbesteuerung (Option) Kalkulation mit Netto-Preis (ohne USt).</t>
  </si>
  <si>
    <t>Hinsichtlich der Berücksichtigung der Umsatzsteuer in der Kostenkalkulation (in Anschaffungskosten,</t>
  </si>
  <si>
    <t>Betriebsmittelpreisen, etc.) ist generell zu beachten:</t>
  </si>
  <si>
    <t>bei pauschalierenden Betrieben:</t>
  </si>
  <si>
    <t>bei Regelbesteuerung (Option):</t>
  </si>
  <si>
    <t>Kalkulation mit Brutto-Preisen (inkl. USt).</t>
  </si>
  <si>
    <t>Kalkulation mit Netto-Preisen (ohne USt).</t>
  </si>
  <si>
    <t>Das Ziel der realen Substanzerhaltung wird nur erreicht, wenn keine Teuerungsrate gegeben ist.</t>
  </si>
  <si>
    <t>Die Anschaffungskosten werden bei jährlich gleichbleibenden Nutzungsumfang i.d.R. ausreichend</t>
  </si>
  <si>
    <t>sachgerecht auf die Nutzungsdauer verteilt.</t>
  </si>
  <si>
    <t>Unterschiedlichen Akh-Bedarf</t>
  </si>
  <si>
    <t>Maschinenkostenkalkulation für Selbstfahr-Häcksler (250 kW) mit Maisgebiss 6-reihig</t>
  </si>
  <si>
    <t>Langfristige Investitionen:</t>
  </si>
  <si>
    <t>A ohne USt</t>
  </si>
  <si>
    <t>im Textteil</t>
  </si>
  <si>
    <t>Übersicht</t>
  </si>
  <si>
    <t>Beispielsdaten siehe</t>
  </si>
  <si>
    <t>Gemäß Punkt</t>
  </si>
  <si>
    <t>Übung zum Mindesteinsatzumfang</t>
  </si>
  <si>
    <t>mittel Schritt für Schritt behandelt werden, wird im Folgenden (1.2 bis 1.4) zunächst grundsätzlich die</t>
  </si>
  <si>
    <t>Methodik der Ermittlung der Kapitalkosten (Abschreibung und Zinsanspruch) ausführlich erläutert.</t>
  </si>
  <si>
    <t>Für alle abnutzbaren Betriebsmitteln schlägt sich die Wertminderung Jahr für Jahr in der Bilanz nieder,</t>
  </si>
  <si>
    <r>
      <t xml:space="preserve">Entstehen am Ende der Nutzungsdauer </t>
    </r>
    <r>
      <rPr>
        <u/>
        <sz val="10"/>
        <rFont val="Arial"/>
        <family val="2"/>
      </rPr>
      <t>Abbruch- oder Entsorgungskosten</t>
    </r>
    <r>
      <rPr>
        <sz val="10"/>
        <rFont val="Arial"/>
        <family val="2"/>
      </rPr>
      <t xml:space="preserve"> werden diese auf </t>
    </r>
  </si>
  <si>
    <t>Achtung:</t>
  </si>
  <si>
    <r>
      <t xml:space="preserve">Betrachtet man den </t>
    </r>
    <r>
      <rPr>
        <u/>
        <sz val="10"/>
        <rFont val="Arial"/>
        <family val="2"/>
      </rPr>
      <t>Geldfluss</t>
    </r>
    <r>
      <rPr>
        <sz val="10"/>
        <rFont val="Arial"/>
        <family val="2"/>
      </rPr>
      <t xml:space="preserve"> beim Kauf eines Anlagegutes, so findet mit der Anschaffung eine</t>
    </r>
  </si>
  <si>
    <r>
      <t xml:space="preserve">somit gleichsam eine </t>
    </r>
    <r>
      <rPr>
        <u/>
        <sz val="10"/>
        <rFont val="Arial"/>
        <family val="2"/>
      </rPr>
      <t>"Ansparung" von Geldmitteln für die Ersatzbeschaffung</t>
    </r>
    <r>
      <rPr>
        <sz val="10"/>
        <rFont val="Arial"/>
        <family val="2"/>
      </rPr>
      <t xml:space="preserve"> dar.</t>
    </r>
  </si>
  <si>
    <r>
      <t>Anschaffungskosten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 –   Restwert  </t>
    </r>
  </si>
  <si>
    <t>1) ggf zuzüglich</t>
  </si>
  <si>
    <t xml:space="preserve">   Abbruch- / Entsorgungskosten</t>
  </si>
  <si>
    <t>Bei Zinsfuß = 10% u. 5 Jahren Nutzungsdauer ergibt sich ein Faktor von:</t>
  </si>
  <si>
    <t>nicht vollständig abgeschrieben. In der letzten Periode muss deshalb der noch vorhandene Restwert</t>
  </si>
  <si>
    <t>Bei der Arithmetisch-degressiven (= digitalen) Abschreibung verringert sich der Abschreibungsbetrag</t>
  </si>
  <si>
    <t>jedes Jahr um einen festen Betrag (Degressionsbetrag).</t>
  </si>
  <si>
    <t>(Anschaffungskosten jeweils 100.000; Nutzungsdauer jeweils 5 Jahre)</t>
  </si>
  <si>
    <t>Der durchschnittlich zu verzinsende Anlagewert ist bei Arithmetisch-degressiver Abschreibung</t>
  </si>
  <si>
    <r>
      <t xml:space="preserve">Der Kalkulationszinsfuß drückt die </t>
    </r>
    <r>
      <rPr>
        <u/>
        <sz val="10"/>
        <rFont val="Arial"/>
        <family val="2"/>
      </rPr>
      <t>Nutzungskosten</t>
    </r>
    <r>
      <rPr>
        <sz val="10"/>
        <rFont val="Arial"/>
        <family val="2"/>
      </rPr>
      <t xml:space="preserve"> für das eingesetzte</t>
    </r>
  </si>
  <si>
    <r>
      <t xml:space="preserve">Kapital aus. Er stellt damit die </t>
    </r>
    <r>
      <rPr>
        <u/>
        <sz val="10"/>
        <rFont val="Arial"/>
        <family val="2"/>
      </rPr>
      <t>Mindestverzinsungsanforderung</t>
    </r>
    <r>
      <rPr>
        <sz val="10"/>
        <rFont val="Arial"/>
        <family val="2"/>
      </rPr>
      <t xml:space="preserve"> des Investors</t>
    </r>
  </si>
  <si>
    <r>
      <t xml:space="preserve">Der sachgerechte Kalkulationszinsfuß für das </t>
    </r>
    <r>
      <rPr>
        <i/>
        <sz val="10"/>
        <rFont val="Arial"/>
        <family val="2"/>
      </rPr>
      <t>Gesamt</t>
    </r>
    <r>
      <rPr>
        <sz val="10"/>
        <rFont val="Arial"/>
        <family val="2"/>
      </rPr>
      <t xml:space="preserve">kapital wird bestimmt </t>
    </r>
  </si>
  <si>
    <r>
      <t xml:space="preserve">durch die Kalkulationszinsfüße für das eingesetzte </t>
    </r>
    <r>
      <rPr>
        <i/>
        <sz val="10"/>
        <rFont val="Arial"/>
        <family val="2"/>
      </rPr>
      <t>Eigen</t>
    </r>
    <r>
      <rPr>
        <sz val="10"/>
        <rFont val="Arial"/>
        <family val="2"/>
      </rPr>
      <t xml:space="preserve">- und </t>
    </r>
    <r>
      <rPr>
        <i/>
        <sz val="10"/>
        <rFont val="Arial"/>
        <family val="2"/>
      </rPr>
      <t>Fremd</t>
    </r>
    <r>
      <rPr>
        <sz val="10"/>
        <rFont val="Arial"/>
        <family val="2"/>
      </rPr>
      <t>kapital.</t>
    </r>
  </si>
  <si>
    <t>aus der Zinsersparnis bei Tilgung von Fremdkapital</t>
  </si>
  <si>
    <t>erhalten. Bei moderaten Inflationsraten (&lt; 4 %) wird diese Korrektur in der Praxis meist trotzdem nicht</t>
  </si>
  <si>
    <t>durchgeführt, da so (ohne Berichtigung) die Kosten bewusst überschätzt werden, die Kalkulation somit</t>
  </si>
  <si>
    <t>mit größerer Vorsicht durchgeführt wird. Bei hohen Inflationsraten ist der reale Kalkulationszinsfuß</t>
  </si>
  <si>
    <t>meist nur sehr schwierig zu bestimmen, da die Verzinsungen bei alternativen Investitionen kaum</t>
  </si>
  <si>
    <t>bekannt sind und die Geldanlage bei Banken häufig zu negativen realen Kalkulationszinsfüßen führt.</t>
  </si>
  <si>
    <t>und damit die Kapitalkosten im Vergleich zur linearen AfA höher ausfallen.</t>
  </si>
  <si>
    <t>unterhalb dieser Schwelle von einer Veränderung des jährlichen Einsatzes nicht beeinträchtigt, so dass</t>
  </si>
  <si>
    <t>in diesem Fall die Abschreibung als nutzungsunabhängiger und damit fester Kostenfaktor zu betrachten</t>
  </si>
  <si>
    <t>variabler Kostenfaktor zu betrachten. Bei einer Nutzungsdauer von 2000 h je Jahr ist die Maschine in 5</t>
  </si>
  <si>
    <t>variablen Kosten gehören, werden sie als bedingt variable Kosten bezeichnet. Die Maschinenkosten</t>
  </si>
  <si>
    <t>sind deshalb wie folgt zu gliedern:</t>
  </si>
  <si>
    <t>Jahren verschlissen, so dass sie auch in 5 Jahren abzuschreiben ist. Wird sie 2500 h je Jahr genutzt,</t>
  </si>
  <si>
    <t>in vier Jahren. Da die Abschreibungen in Abhängigkeit vom Einsatzumfang zu den festen oder zu den</t>
  </si>
  <si>
    <r>
      <t xml:space="preserve">anspruch) alternativ auch mit Hilfe des </t>
    </r>
    <r>
      <rPr>
        <u/>
        <sz val="10"/>
        <rFont val="Arial"/>
        <family val="2"/>
      </rPr>
      <t>Annuitätenfaktors</t>
    </r>
    <r>
      <rPr>
        <sz val="10"/>
        <rFont val="Arial"/>
        <family val="2"/>
      </rPr>
      <t xml:space="preserve"> bestimmen. Der Wertminderung (AfA)</t>
    </r>
  </si>
  <si>
    <t>oder Stellraumbedarf zu schätzen.</t>
  </si>
  <si>
    <t>ó</t>
  </si>
  <si>
    <t>Hinweis:</t>
  </si>
  <si>
    <t>Im Text enthaltene Verweise auf Richtwerte des Kuratoriums für Technik und Bauwesen in der Landwirtschaft</t>
  </si>
  <si>
    <t>Betriebsplanung, Intenetangebot (www.ktbl.de)</t>
  </si>
  <si>
    <t>Anschaffungskosten (A)  –  Restwert (R)</t>
  </si>
  <si>
    <t>R = Restwert</t>
  </si>
  <si>
    <t>Restw</t>
  </si>
  <si>
    <t>RestW</t>
  </si>
  <si>
    <t>(A - R) / N</t>
  </si>
  <si>
    <t>((A + R) / 2)  ×  p</t>
  </si>
  <si>
    <t>Unter Berücksichtigung eines Restwertes ergibt sich:  (A + R) / 2 × Zinsfuß</t>
  </si>
  <si>
    <r>
      <t xml:space="preserve">Der Grundsatz </t>
    </r>
    <r>
      <rPr>
        <i/>
        <sz val="10"/>
        <rFont val="Arial"/>
        <family val="2"/>
      </rPr>
      <t>soviel Praxisdaten wie möglich und sowenig Normdaten als nötig</t>
    </r>
    <r>
      <rPr>
        <sz val="10"/>
        <rFont val="Arial"/>
        <family val="2"/>
      </rPr>
      <t xml:space="preserve"> ist hier nicht </t>
    </r>
  </si>
  <si>
    <t>zu empfehlen. Bei der Verwendung von einzelbetrieblichen Aufzeichnungen stellt sich das Problem,</t>
  </si>
  <si>
    <t>dass für die methodisch korrekte Festlegung der Reparaturkosten alle anfallenden Reparaturen über die</t>
  </si>
  <si>
    <t>gesamte Nutzungsdauer einer Maschine erfasst und verteilt werden müssen. Da jedoch in der Praxis</t>
  </si>
  <si>
    <t>kaum Aufzeichnungen für identische Maschinen über die gesamte Nutzungsdauer vorliegen, ist es</t>
  </si>
  <si>
    <t>(selbst für Großbetriebe) empfehlenswert auf Normdaten zurückzugreifen.</t>
  </si>
  <si>
    <r>
      <t xml:space="preserve">raus, die ständig aktualisiert werden </t>
    </r>
    <r>
      <rPr>
        <sz val="8"/>
        <rFont val="Arial"/>
        <family val="2"/>
      </rPr>
      <t>(Taschenbuch Landwirtschaft, Datensammlung Betriebsplanung, www.ktbl.de).</t>
    </r>
  </si>
  <si>
    <r>
      <t xml:space="preserve">Bei einer geringeren als der potentiellen Nutzung einer Maschine sind auch </t>
    </r>
    <r>
      <rPr>
        <u/>
        <sz val="10"/>
        <rFont val="Arial"/>
        <family val="2"/>
      </rPr>
      <t>geringere</t>
    </r>
    <r>
      <rPr>
        <sz val="10"/>
        <rFont val="Arial"/>
        <family val="2"/>
      </rPr>
      <t xml:space="preserve"> durchschnittliche</t>
    </r>
  </si>
  <si>
    <r>
      <t xml:space="preserve">Bei Anschaffung von Gebrauchtmaschinen allerdings sind </t>
    </r>
    <r>
      <rPr>
        <u/>
        <sz val="10"/>
        <rFont val="Arial"/>
        <family val="2"/>
      </rPr>
      <t>höhere</t>
    </r>
    <r>
      <rPr>
        <sz val="10"/>
        <rFont val="Arial"/>
        <family val="2"/>
      </rPr>
      <t xml:space="preserve"> durchschnittliche Reparaturkosten zu</t>
    </r>
  </si>
  <si>
    <t>wirklich erreicht beträgt der Reparaturkosten-Richtwert durchschnittlich 5 Euro je Stunde.</t>
  </si>
  <si>
    <t>Korrekturfaktor für einen neuen Pflug bei einer Auslastung von 67%:</t>
  </si>
  <si>
    <r>
      <t xml:space="preserve">Korrekturfaktor   =   Auslastung in % </t>
    </r>
    <r>
      <rPr>
        <vertAlign val="superscript"/>
        <sz val="10"/>
        <rFont val="Arial"/>
        <family val="2"/>
      </rPr>
      <t xml:space="preserve">0,35 </t>
    </r>
    <r>
      <rPr>
        <sz val="10"/>
        <rFont val="Arial"/>
        <family val="2"/>
      </rPr>
      <t xml:space="preserve">   =     67%</t>
    </r>
    <r>
      <rPr>
        <vertAlign val="superscript"/>
        <sz val="10"/>
        <rFont val="Arial"/>
        <family val="2"/>
      </rPr>
      <t xml:space="preserve"> 0,35</t>
    </r>
    <r>
      <rPr>
        <sz val="10"/>
        <rFont val="Arial"/>
        <family val="2"/>
      </rPr>
      <t xml:space="preserve">     =     0,67</t>
    </r>
    <r>
      <rPr>
        <vertAlign val="superscript"/>
        <sz val="10"/>
        <rFont val="Arial"/>
        <family val="2"/>
      </rPr>
      <t xml:space="preserve"> 0,35</t>
    </r>
    <r>
      <rPr>
        <sz val="10"/>
        <rFont val="Arial"/>
        <family val="2"/>
      </rPr>
      <t xml:space="preserve">    =</t>
    </r>
  </si>
  <si>
    <t>Nutzungskosten in Höhe der Lohnkosten für saisonale Arbeitskräfte ausgegangen.</t>
  </si>
  <si>
    <t>Die Nutzungskosten der Arbeit sind meistens nur schwierig zu ermitteln. Es  wird deshalb häufig von</t>
  </si>
  <si>
    <t>einziges Arbeitsverfahren verwendet, so sind auch die Festkosten zu berücksichtigen.</t>
  </si>
  <si>
    <t xml:space="preserve">zwar die  Flächenleistung, aber es sinkt die Arbeitsqualität, Ertragsausfälle treten auf.          </t>
  </si>
  <si>
    <t>der Arbeitserledigung immer mehr vom optimalen Zeitpunkt ab, so dass Verluste auftreten.</t>
  </si>
  <si>
    <t>Normdaten werden vom KTBL nur zu den Kostengruppen 300 bis 500 veröffentlicht.</t>
  </si>
  <si>
    <t>Die Kosten für Grundstück (100), Herrichten und Erschließen (200) sowie Ausstattung (600) sind</t>
  </si>
  <si>
    <t>überwiegend standortabhängigen und daher individuell abzuschätzen. Die Baunebenkosten (700)</t>
  </si>
  <si>
    <t>können mit etwa 10% des ermittelten Investitionsbedarfs angesetzt werden.</t>
  </si>
  <si>
    <r>
      <t xml:space="preserve">Der </t>
    </r>
    <r>
      <rPr>
        <u/>
        <sz val="10"/>
        <rFont val="Arial"/>
        <family val="2"/>
      </rPr>
      <t>Zinsanspruch</t>
    </r>
    <r>
      <rPr>
        <sz val="10"/>
        <rFont val="Arial"/>
        <family val="2"/>
      </rPr>
      <t xml:space="preserve"> berechnet sich bei linearer Wertminderung und unter Vernachlässigung eines Rest-</t>
    </r>
  </si>
  <si>
    <t>Die Richtwerte des KTBL beziehen sich immer auf eine Nutzungseinheit (d.h. Kosten je ha, h, etc) und</t>
  </si>
  <si>
    <t>vom Kauf der Neumaschine bis zum Nutzungsende, das durch die Nutzungsdauer nach Leistung (h,</t>
  </si>
  <si>
    <t>ha, etc) festgelegt ist.</t>
  </si>
  <si>
    <t>Der Leistungsvorrat (d.h. die Lebensdauer nach Leistung) für einen Allradtraktor beträgt</t>
  </si>
  <si>
    <t>Reparaturkosten je Nutzungseinheit zu erwarten.</t>
  </si>
  <si>
    <t>erwarten, da die Reparaturanfälligkeit einer Maschine mit zunehmendem (Nutzungs-)Alter beträchtlich</t>
  </si>
  <si>
    <t>steigt und die anfängliche reparaturärmere Zeit ja bereits vorbei ist.</t>
  </si>
  <si>
    <t>Alter in</t>
  </si>
  <si>
    <t>Ende der Nutzungsdauer der Maschine in % von n</t>
  </si>
  <si>
    <t>% von n</t>
  </si>
  <si>
    <t>n = gesamte Lebensdauer der Maschine nach Leistung (in km, Betriebsstunden, ha, etc.)</t>
  </si>
  <si>
    <t>Maschinen mit hohem Verschleiß (Bodenbearbeitung, Ernte)</t>
  </si>
  <si>
    <t>8.000 / 12 Jahre = 667 Std je Jahr) beträgt der Korrekturfaktor 0,90.</t>
  </si>
  <si>
    <t>Euro je Stunde.</t>
  </si>
  <si>
    <t>€ / Std</t>
  </si>
  <si>
    <t>Die durchschnittlichen Reparaturkosten betragen somit:</t>
  </si>
  <si>
    <t>(d.h. bereits 3.000 Std geleistet) beträgt der Korrekturfaktor für die verbleibende Lebensdauer:</t>
  </si>
  <si>
    <t xml:space="preserve">Um diese beiden Faktoren </t>
  </si>
  <si>
    <t>Nutzungsbeginn wenn bereits ein Teil der Leistung verbraucht ist ("Gebrauchtmaschine")</t>
  </si>
  <si>
    <t>Nutzungsende vor Erreichen der Kapazität (geringe Auslastung) und</t>
  </si>
  <si>
    <t xml:space="preserve">Reparaturkosten-Korrekturfaktoren </t>
  </si>
  <si>
    <t>für Maschinen mit niedrigem Verschleiß</t>
  </si>
  <si>
    <t>bei den Reparaturkosten zu berücksichtigen hat das KTBL Korrekturfaktoren erarbeitet.</t>
  </si>
  <si>
    <t>Bei diesen Korrekturfaktoren wird unterschieden zwischen Maschinen und Geräte die einen hohen oder</t>
  </si>
  <si>
    <t>geringen Regelverschleiß aufweisen. Beispielsweise haben Pflüge einen vergleichsweise hohen</t>
  </si>
  <si>
    <t>Regelverschleiß, da mit jeder Pflugfurche die Schare abgenutzt werden. Im Gegensatz dazu haben z.B.</t>
  </si>
  <si>
    <t>geringer an, als bei Maschinen mit anfänglich geringerem Regelverschleißanteil.</t>
  </si>
  <si>
    <t>längeren "reparaturfreien" Zeit ein). Im erstgenannten Fall steigen die Reparaturen durchschnittlich</t>
  </si>
  <si>
    <t>Trendkurven der Reparaturkosten-Korrekturfaktoren</t>
  </si>
  <si>
    <t>Alter und Auslastung einer Maschine besonders deutlich.</t>
  </si>
  <si>
    <t>Die folgende Übersicht zeigt welche Arten von Kosten bei den verschiedenen Betriebsmitteln</t>
  </si>
  <si>
    <t>üblicherweise anzutreffen sind.</t>
  </si>
  <si>
    <t>2.3.4</t>
  </si>
  <si>
    <t>Abschreibung (bei unterschwelliger Nutzung)</t>
  </si>
  <si>
    <t>Abschreibung (bei überschwelliger Nutzung)</t>
  </si>
  <si>
    <t>Bevor in den Kapiteln 2 bis 5 die einzelnen Kostenpositionen spezifisch für die verschiedenen Betriebs-</t>
  </si>
  <si>
    <t>Baukonstrukt. u. techn. Anlagen zur Entnahme, Lagerung, Behandlung v. Tierprodukten (Milch, Eiern etc.)</t>
  </si>
  <si>
    <t>Baukonstrukt. u. techn. Anlagen für Futterlager, -aufbereitung, -vorlage im Bauwerk u. in Außenanlagen</t>
  </si>
  <si>
    <t>In der DIN 276 "Kosten im Hochbau" werden die Kosten für die Planung und Ausführung von</t>
  </si>
  <si>
    <t>Baumaßnahmen planungsorientiert gegliedert. Diese Gliederung, die in erster Linie von Architekten</t>
  </si>
  <si>
    <t>Jährliche Gesamtkosten (durchschnittlich):</t>
  </si>
  <si>
    <t>Bestimmung des Investitionsbedarfs</t>
  </si>
  <si>
    <t>Ableitung der einzelnen Kostenpositionen</t>
  </si>
  <si>
    <t>N (J)</t>
  </si>
  <si>
    <t>U'Ha</t>
  </si>
  <si>
    <t>USt:</t>
  </si>
  <si>
    <t>Zinsfuß:</t>
  </si>
  <si>
    <t>/   2  ×</t>
  </si>
  <si>
    <t>Anzahl der Tierplätze, bei Zuchtsauen: Anzahl der produktiven Sauen</t>
  </si>
  <si>
    <t>z. B. Milchkammer und Melkraum</t>
  </si>
  <si>
    <t>Fläche zur freien Bewegung der Tiere</t>
  </si>
  <si>
    <t>Fressplatzbreite in m</t>
  </si>
  <si>
    <t>Luftraum im Stallbereich (Stallfläche STF x Höhe)</t>
  </si>
  <si>
    <t>Lagerkapazität für Gülle bzw. Festmist in Monaten</t>
  </si>
  <si>
    <t>NE</t>
  </si>
  <si>
    <t>Nutzeinheit</t>
  </si>
  <si>
    <t>BGF</t>
  </si>
  <si>
    <t>Bruttogrundfläche</t>
  </si>
  <si>
    <t>KGF</t>
  </si>
  <si>
    <t>Konstruktionsgrundfläche</t>
  </si>
  <si>
    <t>HNF</t>
  </si>
  <si>
    <t>Hauptnutzfläche</t>
  </si>
  <si>
    <t>STF</t>
  </si>
  <si>
    <t>Stallfläche</t>
  </si>
  <si>
    <t>BF</t>
  </si>
  <si>
    <t>Betriebsfläche</t>
  </si>
  <si>
    <t>LF</t>
  </si>
  <si>
    <t>Lauffläche</t>
  </si>
  <si>
    <t>FP</t>
  </si>
  <si>
    <t>STR</t>
  </si>
  <si>
    <t>Stallraum</t>
  </si>
  <si>
    <t>BRI</t>
  </si>
  <si>
    <t>Bruttorauminhalt</t>
  </si>
  <si>
    <t>BRI-M</t>
  </si>
  <si>
    <t>Bruttorauminhalt mit Mistlager</t>
  </si>
  <si>
    <t>ML</t>
  </si>
  <si>
    <t>Mistlager (Nutzvolumen)</t>
  </si>
  <si>
    <t>MLD</t>
  </si>
  <si>
    <t>Mistlagerdauer</t>
  </si>
  <si>
    <t>Abk.</t>
  </si>
  <si>
    <t>Bezeichnung</t>
  </si>
  <si>
    <t>m²</t>
  </si>
  <si>
    <t>m³</t>
  </si>
  <si>
    <t>Monate</t>
  </si>
  <si>
    <t>Wie verändert sich das Kostengleichgewicht, wenn darüber hinaus bei der</t>
  </si>
  <si>
    <r>
      <t>Geschwindigkeitskosten</t>
    </r>
    <r>
      <rPr>
        <sz val="10"/>
        <rFont val="Arial"/>
        <family val="2"/>
      </rPr>
      <t xml:space="preserve">: mit zunehmender Arbeitsgeschwindigkeit steigt </t>
    </r>
  </si>
  <si>
    <r>
      <t>Terminkosten</t>
    </r>
    <r>
      <rPr>
        <sz val="10"/>
        <rFont val="Arial"/>
        <family val="2"/>
      </rPr>
      <t xml:space="preserve">: mit zunehmender Bearbeitungsfläche weicht der Zeitpunkt  </t>
    </r>
  </si>
  <si>
    <t>Vergleichskosten  = Verfahrenskosten  ±  Zu- / Abschläge für Arbeitsqualität, etc.</t>
  </si>
  <si>
    <t>Es gilt:</t>
  </si>
  <si>
    <t>Bei den Zu-/Abschlägen können folgende Größen relevant werden:</t>
  </si>
  <si>
    <r>
      <t>Wichtig</t>
    </r>
    <r>
      <rPr>
        <sz val="10"/>
        <rFont val="Arial"/>
        <family val="2"/>
      </rPr>
      <t>: die genannten Positionen können je nach Situation sowohl die Eigen- wie auch</t>
    </r>
  </si>
  <si>
    <t>kann starke Unterschiede aufweisen.</t>
  </si>
  <si>
    <t>Verfahrenskosten erfolgen, denn die Arbeitsqualität, der technische Stand der Maschinen, etc.</t>
  </si>
  <si>
    <t>Unterschiedlichen AKh-Bedarf</t>
  </si>
  <si>
    <r>
      <t>Technische Fortschritte</t>
    </r>
    <r>
      <rPr>
        <sz val="10"/>
        <rFont val="Arial"/>
        <family val="2"/>
      </rPr>
      <t>: bewirken ggf. geringere Verluste</t>
    </r>
  </si>
  <si>
    <t>Festkosten je Jahr</t>
  </si>
  <si>
    <t>Einsatzumfang (ha od. h)</t>
  </si>
  <si>
    <t>–––––––––––––––––––––-</t>
  </si>
  <si>
    <t>Durch Umformung der Gleichung und Auflösung nach der Variablen "Einsatzumfang" ergibt sich:</t>
  </si>
  <si>
    <t>–––––––––––––––––––––––––––––––––––––––––––––––––––––––––-</t>
  </si>
  <si>
    <t>Pflug Leihen oder Kaufen?</t>
  </si>
  <si>
    <t>+  Variable Kosten je ha od. h    =   Kosten Fremdmaschine je ha od. h</t>
  </si>
  <si>
    <t>Fremdmaschine auf der anderen Seite. Die Variable in dieser Gleichung ist der Einsatzumfang der</t>
  </si>
  <si>
    <t>Leihgebühr:</t>
  </si>
  <si>
    <t>€ je ha</t>
  </si>
  <si>
    <t>X ha</t>
  </si>
  <si>
    <t>––––––-</t>
  </si>
  <si>
    <t>X   =</t>
  </si>
  <si>
    <t>––––––––––––––––-  =</t>
  </si>
  <si>
    <t>Annuität</t>
  </si>
  <si>
    <t>3</t>
  </si>
  <si>
    <t>**)</t>
  </si>
  <si>
    <t>Einheit</t>
  </si>
  <si>
    <t xml:space="preserve"> Einh./ha</t>
  </si>
  <si>
    <t xml:space="preserve">          Dieselöl</t>
  </si>
  <si>
    <t>l</t>
  </si>
  <si>
    <t xml:space="preserve">       Schmieröl</t>
  </si>
  <si>
    <t xml:space="preserve">           Summe</t>
  </si>
  <si>
    <t>Leistung je Jahr</t>
  </si>
  <si>
    <t>GESAMTKOSTEN</t>
  </si>
  <si>
    <t>Versicherungskosten</t>
  </si>
  <si>
    <t>)</t>
  </si>
  <si>
    <t>Buch-</t>
  </si>
  <si>
    <t>wert</t>
  </si>
  <si>
    <t>Preis-</t>
  </si>
  <si>
    <t>X</t>
  </si>
  <si>
    <t>Wiederbeschaffungswert).</t>
  </si>
  <si>
    <t>veranschlagt.</t>
  </si>
  <si>
    <t xml:space="preserve"> Bei überschwelliger Nutzung sind die Abschreibungen von Maschinen ein variabler Kostenfaktor.</t>
  </si>
  <si>
    <t>ð</t>
  </si>
  <si>
    <t>materialbedingte Überalterung begrenzt. Die Nutzungsdauer (und damit die Abschreibung) wird folglich</t>
  </si>
  <si>
    <t>Verbrauchsmaterial, Hilfsstoffe</t>
  </si>
  <si>
    <t>*) bei landwirtschaftlicher Nutzung fällt keine Steuer an</t>
  </si>
  <si>
    <t>Betriebsstoffe</t>
  </si>
  <si>
    <t>Betriebswirtschaftlich gesehen stellt die Bezahlung des Preises bei der Anschaffung eines Anlagegutes</t>
  </si>
  <si>
    <t>keine Kosten dar - schließlich wird lediglich Finanzvermögen in Sachvermögen umgewandelt.</t>
  </si>
  <si>
    <t>Der Käufer ist nach der Anschaffung weder ärmer noch reicher - seine Bilanzsumme hat sich nicht</t>
  </si>
  <si>
    <t>die Nutzungsdauer</t>
  </si>
  <si>
    <t>Verteilung der Anschaffungs- oder Herstellungskosten (= der gesamten Wertminderung) auf</t>
  </si>
  <si>
    <t>Betrachtet man die gesamte Nutzungsdauer eines Anlagegutes und unterstellt, dass das Gut an deren</t>
  </si>
  <si>
    <t>einmalige Zahlung statt. Um in der Lage zu sein, das Anlagegut am Ende seiner Nutzungsdauer</t>
  </si>
  <si>
    <t>beantwortet sich in der Summe der benötigten Abschreibungen.</t>
  </si>
  <si>
    <t>durch ein neues zu ersetzen, muss während der Nutzungsdauer wieder Geld erwirtschaftet werden</t>
  </si>
  <si>
    <t>und zwar mindestens in Höhe der gesamten Wertminderung. Die jährlichen Abschreibungen stellen</t>
  </si>
  <si>
    <t>Dies berücksichtigt zunächst noch nicht, dass bei der Ersatzbeschaffung eines Anlageguts durch</t>
  </si>
  <si>
    <t>geringen Arbeitsanfalls durchgeführt wird, sind die Nutzungskosten für die aufgewendete Arbeit gering.</t>
  </si>
  <si>
    <t>Die Wartungskosten werden in der Regel nicht den Maschinenkosten zugerechnet, sondern im</t>
  </si>
  <si>
    <t>Betriebsstoffkosten</t>
  </si>
  <si>
    <t>Die Betriebsstoffkosten umfassen:</t>
  </si>
  <si>
    <t>Energiekosten zum Betrieb von Verbrennungs- und Elektromotoren</t>
  </si>
  <si>
    <t>Schmierstoffkosten zur Verringerung des Verschleißes</t>
  </si>
  <si>
    <t>Die Höhe der Betriebsstoffkosten ergibt sich aus der benötigten Menge und dem Preis.</t>
  </si>
  <si>
    <t xml:space="preserve">sowohl bei "überschwelliger" als auch bei "unterschwelliger" Nutzung dargestellt. </t>
  </si>
  <si>
    <t>Anschaffungskosten (A)</t>
  </si>
  <si>
    <t>Restwert (R)</t>
  </si>
  <si>
    <t>Nutzungsdauer nach Zeit (N)</t>
  </si>
  <si>
    <t>%</t>
  </si>
  <si>
    <t>h/Jahr</t>
  </si>
  <si>
    <t>von A</t>
  </si>
  <si>
    <t>Jährlicher Einsatzumfang</t>
  </si>
  <si>
    <t>FESTE KOSTEN</t>
  </si>
  <si>
    <t xml:space="preserve">Abschreibung </t>
  </si>
  <si>
    <t>% von A</t>
  </si>
  <si>
    <t>VARIABLE KOSTEN</t>
  </si>
  <si>
    <t>Gesamtkosten je Jahr</t>
  </si>
  <si>
    <t>Angaben:</t>
  </si>
  <si>
    <t>Kalkulationszinsfuß</t>
  </si>
  <si>
    <t>Feste Kosten</t>
  </si>
  <si>
    <t>Feste Kosten je Jahr</t>
  </si>
  <si>
    <t>Variable Kosten</t>
  </si>
  <si>
    <t>Verfahrenskosten</t>
  </si>
  <si>
    <t>Die Verfahrenskosten beinhalten alle Kosten die für die Durchführung eines Arbeitsverfahren anfallen.</t>
  </si>
  <si>
    <t>Vergleichskosten</t>
  </si>
  <si>
    <t>Die Vorzüglichkeit alternativ einsetzbarer Verfahren kann meist nicht allein auf der Basis von</t>
  </si>
  <si>
    <t>Verfahrenskosten = Maschinenkosten + Arbeitskosten</t>
  </si>
  <si>
    <t>Maschinenkosten je ha oder Einsatzstunde:</t>
  </si>
  <si>
    <t>anteilige Festkosten der Arbeitsmaschine (z.B. Pflug)</t>
  </si>
  <si>
    <t>variable Kosten der Arbeitsmaschine</t>
  </si>
  <si>
    <t>+</t>
  </si>
  <si>
    <t>Arbeitskosten je ha oder Einsatzstunde:</t>
  </si>
  <si>
    <t>Nutzungskosten der AKh ständiger Fam-AKh</t>
  </si>
  <si>
    <t>Nutzungskosten der AKh ständiger Fremd-AKh</t>
  </si>
  <si>
    <t>Löhne nichtständiger Fremd-AK</t>
  </si>
  <si>
    <t>Vergleichskosten  = Verfahrenskosten  ±  Zu- oder Abschläge</t>
  </si>
  <si>
    <t>für Arbeitsqualität ("Terminkosten", "Geschwindigkeitskosten")</t>
  </si>
  <si>
    <r>
      <t>Geschwindigkeitskosten</t>
    </r>
    <r>
      <rPr>
        <sz val="10"/>
        <rFont val="Arial"/>
        <family val="2"/>
      </rPr>
      <t xml:space="preserve">: mit zunehmender Arbeitsgeschwindigkeit steigt </t>
    </r>
  </si>
  <si>
    <t>zwar die  Flächenleistung, aber es sinkt die Arbeitsqualität, Ertragsausfälle</t>
  </si>
  <si>
    <t xml:space="preserve">treten auf.          </t>
  </si>
  <si>
    <t>Kosten sind definiert als "Wertverzehr" von Gütern und Dienstleistungen zur Erstellung betrieblicher</t>
  </si>
  <si>
    <t>Leistungen. Der wirtschaftliche Einsatz dauerhafter Betriebsmittel verursacht Kosten. Nach ihrer</t>
  </si>
  <si>
    <t>Hier wird unterschieden, wie Kosten sich bei zunehmendem oder abnehmendem Einsatzumfang</t>
  </si>
  <si>
    <t>(abhängig von der Nutzung) entwickeln. Ändern sich die Kosten bei unterschiedlichem Einsatzumfang,</t>
  </si>
  <si>
    <t xml:space="preserve">so spricht man von variablen Kosten. </t>
  </si>
  <si>
    <t>Abhängigkeit vom Einsatzumfang: sie sind veränderlich = variabel. Dagegen gibt es Kosten, die sich</t>
  </si>
  <si>
    <t>durch den Einsatzumfang nicht ändern. Ein Beispiel ist die Steuer für ein Kraftfahrzeug. Unabhängig</t>
  </si>
  <si>
    <t>von der gefahrenen Kilometerleistung ist die Steuer gleich oder eben "fest". Es sind feste Kosten.</t>
  </si>
  <si>
    <t>1) da kein Wertverlust eintritt gibt es auch keine Abschreibung</t>
  </si>
  <si>
    <t xml:space="preserve">Für Betriebsmittel bei denen kein Wertverlust über die Nutzung eintritt </t>
  </si>
  <si>
    <t>(wie Grund und Boden) fällt keine Abschreibung an.</t>
  </si>
  <si>
    <t>Ende durch die Nutzung keinerlei Marktwert mehr besitzt (Restwert = 0), so ist letztlich der komplette</t>
  </si>
  <si>
    <r>
      <t xml:space="preserve">Sofern am Ende der Nutzungsdauer noch ein </t>
    </r>
    <r>
      <rPr>
        <u/>
        <sz val="10"/>
        <rFont val="Arial"/>
        <family val="2"/>
      </rPr>
      <t>Restwert</t>
    </r>
    <r>
      <rPr>
        <sz val="10"/>
        <rFont val="Arial"/>
        <family val="2"/>
      </rPr>
      <t xml:space="preserve"> besteht (Restwert &gt; 0), beträgt die </t>
    </r>
  </si>
  <si>
    <t>Wertminderung nur die Differenz aus Anschaffungspreis und Restwert.</t>
  </si>
  <si>
    <t xml:space="preserve">Betrachtet man den Wertverlust von Anlagegütern (Abschreibung), so muss die Dauer der Nutzung des </t>
  </si>
  <si>
    <t>Gutes angegeben werden, in der der Wertverlust eintritt (Nutzungsdauer, Kürzel: N). Ein zweiter</t>
  </si>
  <si>
    <t>begrenzender Faktor, neben der Zeit, ist der Leistungsvorrat. Dieser bezieht sich in erster Linie auf die</t>
  </si>
  <si>
    <t>zur Verfügung gestellten Leistungseinheiten (z.B. Schlepperstunden). Hier geht man davon aus, dass</t>
  </si>
  <si>
    <t>durch steigende Reparaturkosten eine wirtschaftlich sinnvolle Nutzung einer Maschine  oder eines</t>
  </si>
  <si>
    <t>Geräts durch dessen Leistungsvorrat (Kürzel: n) ebenfalls begrenzt ist.</t>
  </si>
  <si>
    <t>Je nachdem, welches Ziel im Vordergrund steht, bieten sich unterschiedliche Methoden zur Berechnung</t>
  </si>
  <si>
    <t>der Abschreibung an. Im folgenden werden diese verschiedenen Abschreibungsmethoden beschriebenen.</t>
  </si>
  <si>
    <t>Investitionen in Güter binden Kapital. Bei Fremdkapital müssen Zinsen bezahlt werden, Eigenkapital</t>
  </si>
  <si>
    <t>kann keine Zinsen erwirtschaften. Durch beides entstehen Kosten. Diese Kosten werden durch den</t>
  </si>
  <si>
    <t>Zinsanspruch ausgedrückt.</t>
  </si>
  <si>
    <t>Zinsanspruch  =  Zinsfuß  × zu verzinsenden Anlagewert im Durchschnitt der Nutzungsdauer</t>
  </si>
  <si>
    <t>wobei: Kalkulationszinsfuß = Mischzins aus: Anteil Fremdkapital × Zins + Anteil Eigenkapital × Zinsansatz</t>
  </si>
  <si>
    <t xml:space="preserve">einzelnen Nutzungsjahre (einschließlich der Anschaffungskosten und des Restwertes zum Ende der </t>
  </si>
  <si>
    <t>Nutzungsdauer auch (wenn dieser Null ist)).</t>
  </si>
  <si>
    <r>
      <t>S</t>
    </r>
    <r>
      <rPr>
        <sz val="10"/>
        <rFont val="Arial"/>
        <family val="2"/>
      </rPr>
      <t>K</t>
    </r>
    <r>
      <rPr>
        <vertAlign val="subscript"/>
        <sz val="10"/>
        <rFont val="Arial"/>
        <family val="2"/>
      </rPr>
      <t>e</t>
    </r>
    <r>
      <rPr>
        <sz val="10"/>
        <rFont val="Arial"/>
        <family val="2"/>
      </rPr>
      <t xml:space="preserve">  +  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K</t>
    </r>
    <r>
      <rPr>
        <vertAlign val="subscript"/>
        <sz val="10"/>
        <rFont val="Arial"/>
        <family val="2"/>
      </rPr>
      <t>f</t>
    </r>
  </si>
  <si>
    <r>
      <t>S</t>
    </r>
    <r>
      <rPr>
        <sz val="10"/>
        <rFont val="Arial"/>
        <family val="2"/>
      </rPr>
      <t>K</t>
    </r>
    <r>
      <rPr>
        <vertAlign val="subscript"/>
        <sz val="10"/>
        <rFont val="Arial"/>
        <family val="2"/>
      </rPr>
      <t>e</t>
    </r>
    <r>
      <rPr>
        <sz val="10"/>
        <rFont val="Arial"/>
        <family val="2"/>
      </rPr>
      <t xml:space="preserve">  ×  p</t>
    </r>
    <r>
      <rPr>
        <vertAlign val="subscript"/>
        <sz val="10"/>
        <rFont val="Arial"/>
        <family val="2"/>
      </rPr>
      <t>e</t>
    </r>
    <r>
      <rPr>
        <sz val="10"/>
        <rFont val="Arial"/>
        <family val="2"/>
      </rPr>
      <t xml:space="preserve">  +  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K</t>
    </r>
    <r>
      <rPr>
        <vertAlign val="subscript"/>
        <sz val="10"/>
        <rFont val="Arial"/>
        <family val="2"/>
      </rPr>
      <t>f</t>
    </r>
    <r>
      <rPr>
        <sz val="10"/>
        <rFont val="Arial"/>
        <family val="2"/>
      </rPr>
      <t xml:space="preserve">  ×  p</t>
    </r>
    <r>
      <rPr>
        <vertAlign val="subscript"/>
        <sz val="10"/>
        <rFont val="Arial"/>
        <family val="2"/>
      </rPr>
      <t>f</t>
    </r>
  </si>
  <si>
    <t>weniger als 10.000 h : 10 Jahre = 1.000 h/Jahr, dann wird die Nutzungsdauer durch die technische und</t>
  </si>
  <si>
    <t>Die Nutzungsdauer und damit die Abschreibung hängen nun vom Einsatz je Jahr ab und sind folglich als</t>
  </si>
  <si>
    <t xml:space="preserve">wird der Leistungsvorrat der Maschine in Höhe von 10.000 h schneller als in 10 Jahren verbraucht, d.h. </t>
  </si>
  <si>
    <t>sie kann nicht 10 Jahre lang genutzt werde, sondern muss früher erstetzt werden.</t>
  </si>
  <si>
    <t>Werden Maschinen länger genutzt, steigen die Reparaturkosten oft über diese Normwerte an.</t>
  </si>
  <si>
    <t>Lange Nutzungsdauer (= niedrige Abschreibung) und evtl. Vernachlässigung höherer Reparaturkosten</t>
  </si>
  <si>
    <t xml:space="preserve">führen  zur Unterschätzung der Kosten. Dies gilt es zu vermeiden. </t>
  </si>
  <si>
    <t>Eine eher vorsichtige (kürzere) Festlegung der Nutzungsdauer beugt  durch ein bewusstes</t>
  </si>
  <si>
    <t>Überschätzen der AfA einem "Vergessen" der höheren Reparaturkosten im Alter vor.</t>
  </si>
  <si>
    <t>Die in Normwerten (z.B. KTBL) angegebenen Reparaturkosten beziehen sich auf Norm-Nutzungsdauern.</t>
  </si>
  <si>
    <t>Die Kosten für die Unterbringung beinhalten die variablen und festen Kosten für Maschinen- und Berge-</t>
  </si>
  <si>
    <t>Genauer ist es jedoch, die Kosten für die Unterbringung von Maschinen über deren Stellflächen-</t>
  </si>
  <si>
    <t>ca 220 kW bei 7,5 m Arbeitsbreite, alle Preise ohne USt</t>
  </si>
  <si>
    <t xml:space="preserve">l / ha  × </t>
  </si>
  <si>
    <t>Restwert zum Ende der der Restnutzungsdauer</t>
  </si>
  <si>
    <t>Buchwert (im Falle eines vorhandenen MD)</t>
  </si>
  <si>
    <t>Alle Preise ohne USt</t>
  </si>
  <si>
    <r>
      <t>Zusammenfassend</t>
    </r>
    <r>
      <rPr>
        <sz val="10"/>
        <rFont val="Arial"/>
        <family val="2"/>
      </rPr>
      <t xml:space="preserve"> bleibt für die praktische Kalkulation unter Vernachlässigung eines Restwertes festzuhalten:</t>
    </r>
  </si>
  <si>
    <t>Alle Angaben ohne USt.</t>
  </si>
  <si>
    <t>Maschinenkostenkalkulation für Mähdrescher (220 kW ) mit Schneidwerk (7,5 m) und Strohhäcksler</t>
  </si>
  <si>
    <t>- alle Preise ohne USt;</t>
  </si>
  <si>
    <t>alternativ mit 14 Euro je AKh verwertet werden kann?</t>
  </si>
  <si>
    <t>Anschaffung eines eigenen Mähdreschers oder</t>
  </si>
  <si>
    <t>2 x zweireihig, 2x8 FGM, Schieberentmistung</t>
  </si>
  <si>
    <t>insgesamt:</t>
  </si>
  <si>
    <t>je Stallplatz</t>
  </si>
  <si>
    <r>
      <t>K</t>
    </r>
    <r>
      <rPr>
        <vertAlign val="subscript"/>
        <sz val="10"/>
        <rFont val="Arial"/>
        <family val="2"/>
      </rPr>
      <t xml:space="preserve"> e</t>
    </r>
    <r>
      <rPr>
        <sz val="10"/>
        <rFont val="Arial"/>
        <family val="2"/>
      </rPr>
      <t xml:space="preserve">  ×  p</t>
    </r>
    <r>
      <rPr>
        <vertAlign val="subscript"/>
        <sz val="10"/>
        <rFont val="Arial"/>
        <family val="2"/>
      </rPr>
      <t xml:space="preserve"> e</t>
    </r>
    <r>
      <rPr>
        <sz val="10"/>
        <rFont val="Arial"/>
        <family val="2"/>
      </rPr>
      <t xml:space="preserve">  +  K</t>
    </r>
    <r>
      <rPr>
        <vertAlign val="subscript"/>
        <sz val="10"/>
        <rFont val="Arial"/>
        <family val="2"/>
      </rPr>
      <t xml:space="preserve"> f</t>
    </r>
    <r>
      <rPr>
        <sz val="10"/>
        <rFont val="Arial"/>
        <family val="2"/>
      </rPr>
      <t xml:space="preserve">  ×  p</t>
    </r>
    <r>
      <rPr>
        <vertAlign val="subscript"/>
        <sz val="10"/>
        <rFont val="Arial"/>
        <family val="2"/>
      </rPr>
      <t xml:space="preserve"> f</t>
    </r>
  </si>
  <si>
    <t xml:space="preserve">Für bis zum 31.12.2010 angeschaffte beweglichen Wirtschaftsgütern des Anlagevermögens war es in der </t>
  </si>
  <si>
    <t xml:space="preserve">Bundesrepublik Deutschland gemäß §7 EStG zulässig statt der linearen ("AfA in gleichen Jahresbeträgen") </t>
  </si>
  <si>
    <t xml:space="preserve">die geometrisch-degressive Abschreibung ("AfA in fallenden Jahresbeträgen") zu verwenden. </t>
  </si>
  <si>
    <t>Es war zulässig während der Nutzungsdauer von der degressiven zur linearen AfA zu wechseln (einmalig!).</t>
  </si>
  <si>
    <t>Dies war notwendig, wenn letztendlich auf einen Restwert von Null abgeschrieben werden sollte.</t>
  </si>
  <si>
    <t>Aus betriebswirtschaftlicher Sicht war es sinnvoll in dem Jahr von der degressiven zur linearen</t>
  </si>
  <si>
    <t>steuerliches Beispiel ungeeignet, da ein AfA-Satz von 40% nicht zulässig war (max. 20%)</t>
  </si>
  <si>
    <t>(brutto = netto + 19% USt)</t>
  </si>
  <si>
    <t>Kosten sind mit 6,25% der Herstellungskosten veranschlagt, die sich wie folgt zusammensetzen:</t>
  </si>
  <si>
    <t>3% auf die Hälfte d. Herstellungskosten</t>
  </si>
  <si>
    <t>Unterhalt/Versich.:</t>
  </si>
  <si>
    <t>Beispiele (für Halle mit 933 m² Nutzfläche):</t>
  </si>
  <si>
    <t>Traktor, 83 kW (5m × 2,4m)</t>
  </si>
  <si>
    <t>Tandem-Hänger 10t</t>
  </si>
  <si>
    <t>Traktoren und selbstfahrende Erntemaschinen</t>
  </si>
  <si>
    <t>Euro je kW u. Jahr</t>
  </si>
  <si>
    <t>von ca.</t>
  </si>
  <si>
    <t>bei &gt; 150 kW</t>
  </si>
  <si>
    <t>LKW</t>
  </si>
  <si>
    <t>bis ca.</t>
  </si>
  <si>
    <t>bei LKW bis 3,5t</t>
  </si>
  <si>
    <t>bei LKW über 3,5t</t>
  </si>
  <si>
    <t>bei &lt; 20 kW</t>
  </si>
  <si>
    <t>Das KTBL veranschlagt folgende jährliche Versicherungskosten (Haftpflicht):</t>
  </si>
  <si>
    <t>Traktoren</t>
  </si>
  <si>
    <t>=&gt; Internetsuche nach "bmf kfz steuerrechner"</t>
  </si>
  <si>
    <t>(0,2 - 0,5%)</t>
  </si>
  <si>
    <t>(2,7 - 5%)</t>
  </si>
  <si>
    <t>Im Vergleich zu den KTBl-Werten ist diese Schätzung oft unzureichend.</t>
  </si>
  <si>
    <t>Quelle: KTBL Datensammlung Betriebsplanung 2016/17</t>
  </si>
  <si>
    <t>je nach Finanzierung: 2% - 6% von A/2</t>
  </si>
  <si>
    <t>1% - 3%</t>
  </si>
  <si>
    <t>durchschnittlich z.B.:</t>
  </si>
  <si>
    <t xml:space="preserve">nachträglich vom Staat erstattet. </t>
  </si>
  <si>
    <t>Diese Verbilligung ist im Preis zu berücksichtigen.</t>
  </si>
  <si>
    <t>können die Verbrauchswerte um bis zu 30% verringert (z.B. beim Schwadziehen) oder um bis zu</t>
  </si>
  <si>
    <t>Als Faustformel gilt bei mittlerer Motorbelastung: 0,1167 Liter Diesel je kW und Stunde ( 0,086 l je PS u. h)</t>
  </si>
  <si>
    <t>Normwerte für den Kraftstoffverbrauch werden vom KTBL herausgegeben. Sie gelten bei einer mittleren</t>
  </si>
  <si>
    <t>Motorbelastung von 40%. Für Arbeiten, bei denen die Motorbelastung eindeutig niedriger oder höher ist,</t>
  </si>
  <si>
    <t>Drehpflug 5-furchig</t>
  </si>
  <si>
    <t>Für nicht-landwirtschaftlich genutzte Fahrzeuge kann die jeweils aktuelle Kfz-Steuer</t>
  </si>
  <si>
    <t>über den Online-Kfz-Steuerrechner des Bundesfinanzministeriums ermittelt werden.</t>
  </si>
  <si>
    <t>Verbundpflasterboden 30 x 15 m, Nutzfläche 441 m²</t>
  </si>
  <si>
    <t>(zweijährige) Kontrolle vorgeschrieben. KTBL veranschlagt jährl. ca. 5-7 €/m Arbeitsbreite.</t>
  </si>
  <si>
    <t>Ströbel, Blei-
steiner, Schuh</t>
  </si>
  <si>
    <t>Produktionsökonomie</t>
  </si>
  <si>
    <t>Beispiel variable Kosten: Wenn ein Traktor mit 85 kW Leistung 1 Stunde eingesetzt wird, verbraucht er</t>
  </si>
  <si>
    <t>z.B. 10 Liter Diesel. Wird er 2 Stunden eingesetzt verbraucht er 20 Liter - die Kosten steigen in</t>
  </si>
  <si>
    <t>Feste Kosten des Mähdreschers</t>
  </si>
  <si>
    <t>Variable Kosten des Mähdreschers</t>
  </si>
  <si>
    <t>Kosten der Maschine</t>
  </si>
  <si>
    <t>AKh/ha =</t>
  </si>
  <si>
    <r>
      <t>€/AKh</t>
    </r>
    <r>
      <rPr>
        <sz val="10"/>
        <rFont val="Calibri"/>
        <family val="2"/>
      </rPr>
      <t>×</t>
    </r>
  </si>
  <si>
    <t>Arbeitskosten: Lohnanspruch d. Fahrers, z.B.</t>
  </si>
  <si>
    <t>Öl</t>
  </si>
  <si>
    <t>Repar.</t>
  </si>
  <si>
    <t>€/h   ×</t>
  </si>
  <si>
    <t>Kosten des Traktors</t>
  </si>
  <si>
    <t>Beispiel: Pflügen:</t>
  </si>
  <si>
    <t>Beispiel: Dreschen:</t>
  </si>
  <si>
    <t>Afa</t>
  </si>
  <si>
    <t>Zinsansp</t>
  </si>
  <si>
    <t>Quelle: nach KTBL</t>
  </si>
  <si>
    <t>Maschinenkosten von Traktor und Pflug</t>
  </si>
  <si>
    <t xml:space="preserve">bei </t>
  </si>
  <si>
    <t>€/ha  ×</t>
  </si>
  <si>
    <t>leistung je Jahr ergeben sich die Verfahrenskosten für 1 ha Pflügen wie folgt.</t>
  </si>
  <si>
    <t>ha/h =</t>
  </si>
  <si>
    <t>€/h    /</t>
  </si>
  <si>
    <t>€/J.   /</t>
  </si>
  <si>
    <t>€  / 14 Jahre  =</t>
  </si>
  <si>
    <t>€ / 2 × 3%  =</t>
  </si>
  <si>
    <t>Feste Kosten Traktor</t>
  </si>
  <si>
    <t>Var. K. des Traktor:</t>
  </si>
  <si>
    <t>Feste Kosten Pflug:</t>
  </si>
  <si>
    <t>Var. K. Pflug:</t>
  </si>
  <si>
    <t>Auslast.:</t>
  </si>
  <si>
    <t>Für den Pflug gilt:</t>
  </si>
  <si>
    <t>Reparatur bei Volllast = 12 €/ha, Auslastung = 70%</t>
  </si>
  <si>
    <t>Für das Pflügen gilt:</t>
  </si>
  <si>
    <t>Dieselverbrauch 30% über Normal (Faktor 1,3!)</t>
  </si>
  <si>
    <t>Mindest-Einsatzumfang  =</t>
  </si>
  <si>
    <t xml:space="preserve">Wenn es um den Vergleich ganzer Arbeitsverfahren geht, sind (wie unter 2.5.1 beschrieben) die </t>
  </si>
  <si>
    <t>€/ha var. K. Maschine</t>
  </si>
  <si>
    <t>€/ha Lohnanspruch</t>
  </si>
  <si>
    <t>keinerlei Korrekturen gelten</t>
  </si>
  <si>
    <t>ha (je J.) wenn</t>
  </si>
  <si>
    <t>beide Korrekturen gelten</t>
  </si>
  <si>
    <t>Mögliche Nachteile der Eigenmechanisierung gegenüber Dienstleister: Verpasster techn. Fortschritt</t>
  </si>
  <si>
    <t>Mögliche Nachteile des Dienstleisters gegenüber Eigenmechanisierung: nicht optimaler Erntetermin</t>
  </si>
  <si>
    <t>1% höhere Verluste als Dienstleister = 1% × 80 dt/ha × 15 €/dt = 12 €/ha</t>
  </si>
  <si>
    <t>15% höhere Menge zu trocknen als bei Eigenmechan. = 15% × 80 dt/ha × 1,60 €/dt = 19,20 €/ha</t>
  </si>
  <si>
    <t>€/ha Verrechnung-</t>
  </si>
  <si>
    <t xml:space="preserve">       satz des </t>
  </si>
  <si>
    <t>€/ha Terminkosten</t>
  </si>
  <si>
    <t>€/ha Verluste</t>
  </si>
  <si>
    <t xml:space="preserve">       Korrekturen</t>
  </si>
  <si>
    <t>Korrekturen nur bei Dienstleister (19,20 €/ha)</t>
  </si>
  <si>
    <t>Korrekturen nur bei Eigenmech. (12,00 €/ha)</t>
  </si>
  <si>
    <t>Wenn der angegebene Mindest-Einsatzumfang überschritten wird ist die Eigenmechanisierung</t>
  </si>
  <si>
    <t>günstiger als die Fremdmechanisierung.</t>
  </si>
  <si>
    <t>Beim Vergleich von Fremd- und Eigenmechanisierung hängt die Entscheidung, welche der beiden Alter-</t>
  </si>
  <si>
    <t>nativen die günstigere ist, entscheidend von der Auslastung (jährlicher Einsatzumfang) der Eigenmaschine</t>
  </si>
  <si>
    <t>ab. Mit steigender Auslastung der Eigenmaschine sinkt die Festkostenbelastung je Leistungseinheit (ha,</t>
  </si>
  <si>
    <t>h, etc) womit sich die Wettbewerbsstellung gegenüber der Fremdmechanisierung verbessert.</t>
  </si>
  <si>
    <t xml:space="preserve">Eigenmaschine, der letztlich festlegt, wie hoch die Festkostenbelastung je ha oder h ausfällt. </t>
  </si>
  <si>
    <t>Die jährlichen Kosten gemessen an den Investitionskosten entsprechen</t>
  </si>
  <si>
    <t xml:space="preserve">€        / </t>
  </si>
  <si>
    <t>€     =</t>
  </si>
  <si>
    <t>% der Investition.</t>
  </si>
  <si>
    <t>Investitionssumme geschätzt.</t>
  </si>
  <si>
    <t>Faktor:</t>
  </si>
  <si>
    <t>Kosten des abnutzbaren Anlagevermögens</t>
  </si>
  <si>
    <t>Als Faustformel werden in der Praxis deshalb oft die jährlichen Kosten eines Stalles mit 10% der</t>
  </si>
  <si>
    <t>Dauerkulturen sind, im Gegensatz zu ‚Wechselkulturen‘ (ein- oder mehrjährig), nicht in die Fruchtfolge</t>
  </si>
  <si>
    <t>einbezogene Kulturen und oft mit der Errichtung von technischen Anlagen (z.B. Rankhilfen, Gerüst- oder</t>
  </si>
  <si>
    <t>Spalieranlagen) verbunden: z. B. Obst-/Beeren-, Spargel,- Reb-, Hopfenanlagen, Baumschulen,</t>
  </si>
  <si>
    <t>Weihnachtsbaumkulturen außerhalb des Waldes.</t>
  </si>
  <si>
    <t>Unter Gebäuden versteht man Bauwerke, die mit dem Boden fest verbunden sind. Sie haben normalerweise</t>
  </si>
  <si>
    <t>eine verhältnismäßig lange Nutzungsdauer. Ihre Aufgabe ist der Schutz von Menschen, Tieren und Sachen</t>
  </si>
  <si>
    <t>gegen äußere Einflüsse. Sie unterstützen, erleichtern oder ermöglichen die Produktion. Zu den Gebäuden</t>
  </si>
  <si>
    <t xml:space="preserve">gehört auch das fest mit ihnen verbundene Zubehör, wie elektrische Installationen, Wasserleitungen etc. </t>
  </si>
  <si>
    <t>Die jährlichen Kosten für Gebäude, baulichen Anlagen, Dauerkulturen sowie für Bodenverbesserungen mit</t>
  </si>
  <si>
    <t>begrenzter Nutzungsdauer* umfassen AfA, Zinsanspruch, Unterhalt (Reparatur) und ggf. Versicherung und</t>
  </si>
  <si>
    <t>lassen sich in der Regel allesamt von den Anschaffungs-/Herstellungskosten ableiten. Obwohl ein Teil der</t>
  </si>
  <si>
    <t>Kosten (Unterhalt, Reparatur) auch variabel (nutzungsabhängig) sein kann, werden in der Praxis auch diese</t>
  </si>
  <si>
    <t>vereinfachend pauschal geschätzt und zusammen mit den anderen Kostenpositionen komplett als</t>
  </si>
  <si>
    <t>nutzungsunabhängige (feste) Kosten betrachtet.</t>
  </si>
  <si>
    <t>in gleichen Raten): Anschaffungs-/Herstellungskosten dividiert durch Nutzungsdauer. Allenfalls bei</t>
  </si>
  <si>
    <t>Dauerkulturen (Obstplantagen, Weinbergen, etc), wo erst mit der Zunahme des Ertragspotenzials auch die</t>
  </si>
  <si>
    <t>Erträge für eine Abschreibung erwirtschaftet werden, macht unter Umständen auch die Anwendung der</t>
  </si>
  <si>
    <t>progressive Abschreibung Sinn.</t>
  </si>
  <si>
    <r>
      <t xml:space="preserve">Bei der jährlichen </t>
    </r>
    <r>
      <rPr>
        <i/>
        <sz val="10"/>
        <rFont val="Arial"/>
        <family val="2"/>
      </rPr>
      <t>Abschreibung</t>
    </r>
    <r>
      <rPr>
        <sz val="10"/>
        <rFont val="Arial"/>
        <family val="2"/>
      </rPr>
      <t xml:space="preserve"> ist in betriebswirtschaftlichen Kalkulationen ein </t>
    </r>
    <r>
      <rPr>
        <u/>
        <sz val="10"/>
        <rFont val="Arial"/>
        <family val="2"/>
      </rPr>
      <t>linearer</t>
    </r>
    <r>
      <rPr>
        <sz val="10"/>
        <rFont val="Arial"/>
        <family val="2"/>
      </rPr>
      <t xml:space="preserve"> Ansatz üblich (AfA</t>
    </r>
  </si>
  <si>
    <t>Gründen) bedeutend unterhalb der üblichen/möglichen Nutzungsdauer liegt. Aus betriebswirtschaftlichen</t>
  </si>
  <si>
    <t>auch tatsächlich noch einen weiteren wirtschaftlichen Nutzen erwarten lässt (z.B. aus Verkauf,</t>
  </si>
  <si>
    <t>Verpachtung, Vermietung, alternativer Weiternutzung, etc.).</t>
  </si>
  <si>
    <r>
      <t xml:space="preserve">Einen </t>
    </r>
    <r>
      <rPr>
        <u/>
        <sz val="10"/>
        <rFont val="Arial"/>
        <family val="2"/>
      </rPr>
      <t>Restwert</t>
    </r>
    <r>
      <rPr>
        <sz val="10"/>
        <rFont val="Arial"/>
        <family val="2"/>
      </rPr>
      <t xml:space="preserve"> anzusetzen ist nur sinnvoll, wenn die vorgesehene Nutzungsdauer (z.B. aus wirtschaftlichen</t>
    </r>
  </si>
  <si>
    <t>Sicht ist ein Restwert-Ansatz zudem nur dann sinnvoll, wenn das Wirtschaftsgut nach der (Erst-)Nutzung</t>
  </si>
  <si>
    <t>Langfristig:</t>
  </si>
  <si>
    <t>Mittelfristig:</t>
  </si>
  <si>
    <t>Kurzfristig:</t>
  </si>
  <si>
    <t>Baukonstruktionen wie Baugrube, Gründung, Außenwände, Innenwände, Decken und</t>
  </si>
  <si>
    <t>Dächer, Stau- und Sammelkanäle, Rühr- und Entnahmeschächte, Verbindungs- und</t>
  </si>
  <si>
    <t>Baukonstruktive Einbauten wie Betonspaltenböden, Steinzeugkrippen sowie technische</t>
  </si>
  <si>
    <t>Anlagen für Abwasser, Wasser, Gas, Wärmeversorgung, lufttechnische Anlagen und</t>
  </si>
  <si>
    <t xml:space="preserve">Starkstromanlagen; Lagerbehälter und Lagerflächen außerhalb des Gebäudes, </t>
  </si>
  <si>
    <t>Nutzungsspezifische Anlagen wie Boxenabtrennungen und Fressgitter, Güllepumpe mit</t>
  </si>
  <si>
    <t>Zubehör, Güllequirl, Spülleitungen, Sperrschieber und Armaturen, Futterautomaten,</t>
  </si>
  <si>
    <t>Futterwagen, mechanische Futterzuteileinrichtungen, Futterbehälter, Abruffütterung,</t>
  </si>
  <si>
    <t>Tränken, usw.</t>
  </si>
  <si>
    <t>(N = 30 Jahre)</t>
  </si>
  <si>
    <t>(N = 15 Jahre)</t>
  </si>
  <si>
    <t>(N = 10 Jahre)</t>
  </si>
  <si>
    <t>Das KTBL unterscheidet sogar drei Nutzungszeiträume (N) bei der Kostenkalkulation:</t>
  </si>
  <si>
    <t>Ablaufleitungen.</t>
  </si>
  <si>
    <t>Verbundpflasterboden 42 x 22,5 m, Nutzfläche 932 m²</t>
  </si>
  <si>
    <t>Stahlbetonbodenplatte 60 x 25 m, Nutzfläche 1482 m²</t>
  </si>
  <si>
    <t>Herstellung (ger.)</t>
  </si>
  <si>
    <t>Das KTBL weist in seinem Online-Angebotfolgende Anhaltswerte für Maschinenhallen (allseitig</t>
  </si>
  <si>
    <t>geschlossen, 4 Sektionaltore) aus:</t>
  </si>
  <si>
    <t>Anpass-</t>
  </si>
  <si>
    <t>basis</t>
  </si>
  <si>
    <t xml:space="preserve"> Hochgerechnet auf Jahr</t>
  </si>
  <si>
    <t>Der Anpassungsfaktor ergibt sich</t>
  </si>
  <si>
    <t>auf Basis einer jährlichen Preissteigerung von:</t>
  </si>
  <si>
    <t>Unterbringungskosten häufig vereinfachend mit 0,2% bis 0,7% der Anschaffungskosten (der Maschine)</t>
  </si>
  <si>
    <t>(0,4 - 0,8%)</t>
  </si>
  <si>
    <t>10% - 16%</t>
  </si>
  <si>
    <t>Maschinenkostenkalkulation für Traktor, 102 kW (93 - 111 kW, 126 - 151 PS), Lastschaltgetriebe</t>
  </si>
  <si>
    <t>Maschinenkosten-Berechnung für einen neuen Allrad-Traktor (102 kW)</t>
  </si>
  <si>
    <t>Versicherung, technische Überwachung pauschal</t>
  </si>
  <si>
    <t>Unterbringung (Maschinenhalle), Versich., techn. Überw., pauschal</t>
  </si>
  <si>
    <t>Unterbringung, Versicherung, techn. Überwachung (pauschal)</t>
  </si>
  <si>
    <t>% v. A</t>
  </si>
  <si>
    <t>Lohnanspruch d. Fahrers, z.B.</t>
  </si>
  <si>
    <t xml:space="preserve">h / ha  × </t>
  </si>
  <si>
    <t>€ / h  =</t>
  </si>
  <si>
    <t xml:space="preserve">l / ha × </t>
  </si>
  <si>
    <t xml:space="preserve">h/ha × </t>
  </si>
  <si>
    <t>+ Verluste je ha</t>
  </si>
  <si>
    <t>+ Lohnanspruch</t>
  </si>
  <si>
    <t>Verluste gegenüber einem neuen MD / bzw. Lohnunternehmer</t>
  </si>
  <si>
    <t>Gesamtkosten der Maschine</t>
  </si>
  <si>
    <t>Vergleichs-Kosten je ha des Arbeitsverfahrens "Mähdrusch"</t>
  </si>
  <si>
    <t>Anbaudrehpflug 6 Schare, A = 23.000 €, R = 0 €, N = 14 Jahre, n = 3000 ha,</t>
  </si>
  <si>
    <t>Flächenleistung = 0,97 ha/h, Arbeitszeitbedarf = 1,22 AKh/ha</t>
  </si>
  <si>
    <t>Unterbringung: pauschal 160 € je Jahr</t>
  </si>
  <si>
    <t>Fall 3:</t>
  </si>
  <si>
    <t>Abschreibungsdauer &gt; Tilgungsdauer UND Restwert &gt; 0</t>
  </si>
  <si>
    <t>Abschreibungsdauer &gt; Tilgungsdauer (ohne Restwert)</t>
  </si>
  <si>
    <t>Abschreibungsdauer = Tilgungsdauer (ohne Restwert)</t>
  </si>
  <si>
    <t>Laufzeit und ein gleiches Risiko besteht. In der Praxis wird häufig pauschal der Zinssatz herangezogen</t>
  </si>
  <si>
    <t>der für Kapitalanlagen erzielt werden kann ("Habenzins").</t>
  </si>
  <si>
    <r>
      <t xml:space="preserve">zinsfuß aus dem </t>
    </r>
    <r>
      <rPr>
        <u/>
        <sz val="10"/>
        <rFont val="Arial"/>
        <family val="2"/>
      </rPr>
      <t>gewichteten</t>
    </r>
    <r>
      <rPr>
        <sz val="10"/>
        <rFont val="Arial"/>
        <family val="2"/>
      </rPr>
      <t xml:space="preserve"> Mittel der Kalkulationszinsfüße beider Kapitalanteile, wobei das</t>
    </r>
  </si>
  <si>
    <r>
      <rPr>
        <u/>
        <sz val="10"/>
        <rFont val="Arial"/>
        <family val="2"/>
      </rPr>
      <t>Verhältnis</t>
    </r>
    <r>
      <rPr>
        <sz val="10"/>
        <rFont val="Arial"/>
        <family val="2"/>
      </rPr>
      <t xml:space="preserve"> über die </t>
    </r>
    <r>
      <rPr>
        <u/>
        <sz val="10"/>
        <rFont val="Arial"/>
        <family val="2"/>
      </rPr>
      <t>gesamte</t>
    </r>
    <r>
      <rPr>
        <sz val="10"/>
        <rFont val="Arial"/>
        <family val="2"/>
      </rPr>
      <t xml:space="preserve"> Nutzungsdauer zu beachten ist.</t>
    </r>
  </si>
  <si>
    <t>Es werden dabei drei Fälle unterschieden:</t>
  </si>
  <si>
    <t>A + R</t>
  </si>
  <si>
    <t xml:space="preserve">dem Wert am Anfang (Anschaffungskosten, A) </t>
  </si>
  <si>
    <t>und dem Wert am Ende (Restwert, R)</t>
  </si>
  <si>
    <t>: 6 !! *</t>
  </si>
  <si>
    <t>*) Achtung:</t>
  </si>
  <si>
    <t>Berechnet man den Mittelwert der Wertereihen gemäß der Formel</t>
  </si>
  <si>
    <t>"Summe der Werte dividiert durch Anzahl der Werte"</t>
  </si>
  <si>
    <t>darf man nicht vergessen, dass es sich bei 5 Jahren Abschreibungsdauer um 6 Werte handelt!</t>
  </si>
  <si>
    <t>Die Anzahl der zu verrechnenden Werte ist immer um 1 höher als die Anzahl der Abschreibungsperioden.</t>
  </si>
  <si>
    <t>Jedoch lässt sich, wie oben beschrieben (Übersicht 8), der mittlere Wert eines Anlagegutes (= durch-</t>
  </si>
  <si>
    <t>A / 2</t>
  </si>
  <si>
    <t>5 Jahre 
=6 Werte!*</t>
  </si>
  <si>
    <t>Ist der Restwert gleich 0 , beträgt der durchschnittliche Kapitaleinsatz demnach:</t>
  </si>
  <si>
    <t>schnittlich gebundenes Kapital) bei linearer Abschreibung/Tilgung mathematisch auch viel einfacher</t>
  </si>
  <si>
    <t>Noch einfacher lässt sich (bei linearer Abschreibung und linearer Tilgung) der durchschnittliche Anteil</t>
  </si>
  <si>
    <t xml:space="preserve">ins Verhältnis setzt zum </t>
  </si>
  <si>
    <t>Fremdkapital-Laufzeit + 1</t>
  </si>
  <si>
    <t>Abschreibungsdauer konstant (im folgenden Beispiel:  60:40).</t>
  </si>
  <si>
    <t>mittleren Verhältnis während der gesamten Abschreibungsdauer entspricht.:</t>
  </si>
  <si>
    <t>bestimmen: Mittelwert aus</t>
  </si>
  <si>
    <t>Abschreibungsdauer.</t>
  </si>
  <si>
    <t>während der Abschreibungsdauer ändert. Daher ist bei der Berechnung der Kapitalanteile die</t>
  </si>
  <si>
    <t>Gesamtsumme des Kapitals über die gesamte Abschreibungssdauer relevant.</t>
  </si>
  <si>
    <t>den anfänglichen Fremdkapital-Anteil (Zeitpunkt 0) =</t>
  </si>
  <si>
    <t>€      /</t>
  </si>
  <si>
    <t>Abschreibungsdauer + 1</t>
  </si>
  <si>
    <t>Jahre  +  1</t>
  </si>
  <si>
    <t>Anteil der Fremdkapital-Laufzeit an der Gesamt-Abschreibungsdauer,</t>
  </si>
  <si>
    <t>wobei (wie oben unter Fall 1 beschrieben) zu berücksichtigen ist, dass die Anzahl der Werte in den</t>
  </si>
  <si>
    <t>Multipliziert man nun den Anfangs-Investitions-Anteil des Fremdkapitals mit dem Zeit-Anteil des</t>
  </si>
  <si>
    <t>Fremdkapitals erhält man den durchschnittlichen Fremdkapital-Anteil:</t>
  </si>
  <si>
    <r>
      <t>durchschnittlicher Fremdkapital-Anteil  =  Anfangs-Investitions-Anteil</t>
    </r>
    <r>
      <rPr>
        <vertAlign val="subscript"/>
        <sz val="10"/>
        <rFont val="Arial"/>
        <family val="2"/>
      </rPr>
      <t>FK</t>
    </r>
    <r>
      <rPr>
        <sz val="10"/>
        <rFont val="Arial"/>
        <family val="2"/>
      </rPr>
      <t xml:space="preserve">   </t>
    </r>
    <r>
      <rPr>
        <sz val="10"/>
        <rFont val="Calibri"/>
        <family val="2"/>
      </rPr>
      <t xml:space="preserve">×    </t>
    </r>
    <r>
      <rPr>
        <sz val="10"/>
        <rFont val="Arial"/>
        <family val="2"/>
      </rPr>
      <t xml:space="preserve"> Zeit-Anteil</t>
    </r>
    <r>
      <rPr>
        <vertAlign val="subscript"/>
        <sz val="10"/>
        <rFont val="Arial"/>
        <family val="2"/>
      </rPr>
      <t>FK</t>
    </r>
  </si>
  <si>
    <r>
      <t xml:space="preserve">Wenn </t>
    </r>
    <r>
      <rPr>
        <sz val="8"/>
        <rFont val="Arial"/>
        <family val="2"/>
      </rPr>
      <t xml:space="preserve">(bei linearer Abschreibung und linearer Tilgung) </t>
    </r>
    <r>
      <rPr>
        <sz val="10"/>
        <rFont val="Arial"/>
        <family val="2"/>
      </rPr>
      <t>die Abschreibungsdauer länger als die Tilgungsdauer</t>
    </r>
  </si>
  <si>
    <t>zusätzlich erhöht sich das gebundene Gesamt- und Eigenkapial im Vergleich zum Fall ohne Restwert.</t>
  </si>
  <si>
    <t xml:space="preserve">ist ändert sich das Verhältnis von Fremdkapital zu Eigenkapital während der Abschreibungsdauer und </t>
  </si>
  <si>
    <t>Wie in Fall 2 lässt sich der mittlere Kalkulationszinsfuß nicht aufgrund des anfänglichen</t>
  </si>
  <si>
    <t>Wertereihen immer 1 mehr ist als die Anzahl der Rechnungsperioden:</t>
  </si>
  <si>
    <t>des Fremdkapitals bestimmen (ganz ohne eine Aufstellung der einzelnen Wertereihen), in dem man:</t>
  </si>
  <si>
    <t>FK-Laufzeit + 1</t>
  </si>
  <si>
    <t>AfA-Dauer + 1</t>
  </si>
  <si>
    <r>
      <t>FK</t>
    </r>
    <r>
      <rPr>
        <sz val="8"/>
        <rFont val="Arial"/>
        <family val="2"/>
      </rPr>
      <t xml:space="preserve"> (Anfang)</t>
    </r>
  </si>
  <si>
    <t>J. +  1</t>
  </si>
  <si>
    <t>€   +</t>
  </si>
  <si>
    <t>Auch im vorliegenden Fall lässt sich die Kalkulation wieder einfacher (ohne eine Aufstellung der einzelnen</t>
  </si>
  <si>
    <t xml:space="preserve">Wertereihen) durchführen. </t>
  </si>
  <si>
    <r>
      <t xml:space="preserve">Das durchschnittlich gebunden </t>
    </r>
    <r>
      <rPr>
        <b/>
        <sz val="10"/>
        <rFont val="Arial"/>
        <family val="2"/>
      </rPr>
      <t>Gesamtkapital</t>
    </r>
    <r>
      <rPr>
        <sz val="10"/>
        <rFont val="Arial"/>
        <family val="2"/>
      </rPr>
      <t xml:space="preserve"> berechnet sich nach der bereits bekannten Formel:</t>
    </r>
  </si>
  <si>
    <r>
      <t xml:space="preserve">Das durchschnittlich (über die gesamte AfA-Dauer) gebundene </t>
    </r>
    <r>
      <rPr>
        <b/>
        <sz val="10"/>
        <rFont val="Arial"/>
        <family val="2"/>
      </rPr>
      <t>Fremdkapital</t>
    </r>
    <r>
      <rPr>
        <sz val="10"/>
        <rFont val="Arial"/>
        <family val="2"/>
      </rPr>
      <t xml:space="preserve"> (FK) berechnet </t>
    </r>
  </si>
  <si>
    <t>sich (analog Fall 2) wie folgt:</t>
  </si>
  <si>
    <t>Fremdkapital (im Durchschnitt der gesamten AfA-Dauer)</t>
  </si>
  <si>
    <t>Gesamtkapital (im Durchschnitt der gesamten AfA-Dauer)</t>
  </si>
  <si>
    <t>Der durchschnittliche Eigenkapital-Anteil ergibt sich zwangsläufig aus der Differenz zu 100%.</t>
  </si>
  <si>
    <t>Der durchschnittliche Fremdkapital-Anteil ergibt sich deshalb zwangsläufig wie folgt:</t>
  </si>
  <si>
    <t>Anschaffungspreis im Laufe der Nutzungsdauer "abzuschreiben".</t>
  </si>
  <si>
    <t>AV</t>
  </si>
  <si>
    <t>Punkt1</t>
  </si>
  <si>
    <t>Punkt2</t>
  </si>
  <si>
    <t>Punkt3</t>
  </si>
  <si>
    <t>Punkt4</t>
  </si>
  <si>
    <t>Punkt5</t>
  </si>
  <si>
    <t>Punkt6</t>
  </si>
  <si>
    <t>Punkt7</t>
  </si>
  <si>
    <t>Punkt8</t>
  </si>
  <si>
    <t>Punkt9</t>
  </si>
  <si>
    <t>Punkt10</t>
  </si>
  <si>
    <t>Punkt11</t>
  </si>
  <si>
    <t>Durchschnitt</t>
  </si>
  <si>
    <t>ZA</t>
  </si>
  <si>
    <t>Linear</t>
  </si>
  <si>
    <t>Perioden</t>
  </si>
  <si>
    <t>Period.</t>
  </si>
  <si>
    <t>Degressive AfA</t>
  </si>
  <si>
    <t>Buchführung  (nominale Substanzerhaltung)</t>
  </si>
  <si>
    <t>Ausweisung des sachgerechten Bilanzwertes (Buchwert) in der betriebswirtschaftlichen</t>
  </si>
  <si>
    <t>Je nachdem, wie die Höhe der Abschreibung (= der Wertverlust) über die Nutzungsdauer des Anlagegutes</t>
  </si>
  <si>
    <t>variiert, ergeben sich unterschiedliche Verläufe des noch verbleibenden Wertes des Anlagegutes (Buchwert).</t>
  </si>
  <si>
    <t>Die Anschaffungskosten des Anlagegutes</t>
  </si>
  <si>
    <t>werden gleichmäßig auf die Jahre der</t>
  </si>
  <si>
    <t>Nutzungsdauer aufgeteilt.</t>
  </si>
  <si>
    <t>jährlich gleichbleibend hohe  Abschreibungs-</t>
  </si>
  <si>
    <t>der Buchwert des Anlagegutes verringert</t>
  </si>
  <si>
    <t>sich in gleichbleibenden Schritten (=linear).</t>
  </si>
  <si>
    <t>Linare Abschreibung</t>
  </si>
  <si>
    <t xml:space="preserve">die Abschreibungsraten nehmen im </t>
  </si>
  <si>
    <t>Zeitverlauf zu!</t>
  </si>
  <si>
    <t>der Buchwert des Anlagegutes</t>
  </si>
  <si>
    <t>verringert sich in immer größeren</t>
  </si>
  <si>
    <t>Schritten (= progressiv).</t>
  </si>
  <si>
    <t>Der durchschnittliche Wert des Anlagegutes</t>
  </si>
  <si>
    <t xml:space="preserve">liegt genau in der Mitte zwischen dem </t>
  </si>
  <si>
    <t>Wert am Anfang (Anschaffungswert A)</t>
  </si>
  <si>
    <t>( A + R ) / 2  =  Ø Buchwert</t>
  </si>
  <si>
    <t>Bei R = 0 gilt:   A / 2  =  Ø Buchwert</t>
  </si>
  <si>
    <t>und dem Wert am Ende (Restwert R):</t>
  </si>
  <si>
    <t>wenn im Vergleich zur linearen AfA der</t>
  </si>
  <si>
    <t xml:space="preserve">Wertverlust des Anlagegutes zu Beginn </t>
  </si>
  <si>
    <t>der Nutzungsdauer geringer ausfällt, ist</t>
  </si>
  <si>
    <t>der durchschnittliche Wert des Anlagegutes</t>
  </si>
  <si>
    <t xml:space="preserve">zwangsläufig höher wie bei der </t>
  </si>
  <si>
    <t xml:space="preserve">linearen AfA (=&gt; die Fläche unter der </t>
  </si>
  <si>
    <t>Buchwert-Linie ist gößer!)</t>
  </si>
  <si>
    <t>Zeitverlauf ab!</t>
  </si>
  <si>
    <t>verringert sich in immer kleineren</t>
  </si>
  <si>
    <t>Schritten (= degressiv).</t>
  </si>
  <si>
    <t>der Nutzungsdauer größer ausfällt, ist</t>
  </si>
  <si>
    <t xml:space="preserve">zwangsläufig geringer wie bei der </t>
  </si>
  <si>
    <t>Buchwert-Linie ist kleiner!)</t>
  </si>
  <si>
    <t>R =</t>
  </si>
  <si>
    <t xml:space="preserve">Für die drei AfA-Grundvarianten (linear, progressiv, degressiv) wird im folgenden der Verlauf des </t>
  </si>
  <si>
    <t>Somit bestimmt die gewählte Abschreibungsmethode die Höhe des durchschnittlich zu verzinsenden</t>
  </si>
  <si>
    <t>Anlagewertes. Aus den oben gezeigten Beispielen ergeben sich folgende Werte:</t>
  </si>
  <si>
    <t>durchschnittliche Anlagewertes nochmals diskutiert.</t>
  </si>
  <si>
    <t>Aber Vorsicht: Bei den drei gezeigten AfA-Grundvarianten (linear, progressiv, degressiv) ist zwar der Verlauf des Buchwertes und damit</t>
  </si>
  <si>
    <r>
      <t xml:space="preserve">der durchschnittliche Anlagfewert unterschiedlich, die Höhe der </t>
    </r>
    <r>
      <rPr>
        <u/>
        <sz val="8"/>
        <rFont val="Arial"/>
        <family val="2"/>
      </rPr>
      <t>duchschnittlichen</t>
    </r>
    <r>
      <rPr>
        <sz val="8"/>
        <rFont val="Arial"/>
        <family val="2"/>
      </rPr>
      <t xml:space="preserve"> AfA je Jahr ist jedoch immer gleich!</t>
    </r>
  </si>
  <si>
    <t>ca 275 kW bei 6 m Arbeitsbreite, alle Preise ohne USt</t>
  </si>
  <si>
    <r>
      <t xml:space="preserve">€/ha </t>
    </r>
    <r>
      <rPr>
        <sz val="8"/>
        <rFont val="Arial"/>
        <family val="2"/>
      </rPr>
      <t>(MD + Schneidwerk)</t>
    </r>
  </si>
  <si>
    <t>die Verfahrenskosten für 1 ha Dreschen bei einem Arbeitszeitbedarf von 0,7 AKh/ha*)  wie folgt:</t>
  </si>
  <si>
    <t>*) inkl. Rüstzeiten !!</t>
  </si>
  <si>
    <t>€ / Platz</t>
  </si>
  <si>
    <t>€    /</t>
  </si>
  <si>
    <t>Liegeboxenlaufstall für 128 Tierplätze</t>
  </si>
  <si>
    <t>2 x zweireihig, 2x8 FGM, Schieberentmistung, mit Auslauf, EG-ökokonform</t>
  </si>
  <si>
    <t>Beispiel einer Gebäudekosten-Berechnung für einen Milchviehstall (Öko)</t>
  </si>
  <si>
    <t>Original</t>
  </si>
  <si>
    <t>Betriebsstoffkosten  (Diesel + Schmieröl)</t>
  </si>
  <si>
    <r>
      <t xml:space="preserve">Diesel </t>
    </r>
    <r>
      <rPr>
        <sz val="8"/>
        <rFont val="Arial"/>
        <family val="2"/>
      </rPr>
      <t>(Faustformel 0,1167 l/kW u. h ( 0,086 l/PS u. h)</t>
    </r>
  </si>
  <si>
    <r>
      <t xml:space="preserve">Unterbringung </t>
    </r>
    <r>
      <rPr>
        <sz val="9"/>
        <rFont val="Arial"/>
        <family val="2"/>
      </rPr>
      <t>(pauschal 0,2% bis 0,7% von A)</t>
    </r>
  </si>
  <si>
    <r>
      <t xml:space="preserve">Versicherung, Steuern, Gebühren </t>
    </r>
    <r>
      <rPr>
        <sz val="9"/>
        <rFont val="Arial"/>
        <family val="2"/>
      </rPr>
      <t>(pauschal 0,2% bis 0,8% von A)</t>
    </r>
  </si>
  <si>
    <t>je ha</t>
  </si>
  <si>
    <t>Verfahrens-Kosten je ha des Arbeitsverfahrens "Mähdrusch"</t>
  </si>
  <si>
    <t>Feste Kosten der Maschine</t>
  </si>
  <si>
    <t>Variable Kosten der Maschine</t>
  </si>
  <si>
    <r>
      <t xml:space="preserve">Für </t>
    </r>
    <r>
      <rPr>
        <u/>
        <sz val="10"/>
        <rFont val="Arial"/>
        <family val="2"/>
      </rPr>
      <t>Neu</t>
    </r>
    <r>
      <rPr>
        <sz val="10"/>
        <rFont val="Arial"/>
        <family val="2"/>
      </rPr>
      <t>maschinen folgen die Faktoren einem Verlauf der näherungsweise folgenden Funktionen</t>
    </r>
  </si>
  <si>
    <t>Für den Traktor gilt:</t>
  </si>
  <si>
    <t>Abweichung:</t>
  </si>
  <si>
    <t>Verfahrenskosten mit Zugmaschine und Gerät: Pflügen</t>
  </si>
  <si>
    <t>Grunddaten aus der Kalkulation der Maschinenkosten für 102-kW-Traktor bei 600 h/Jahr.</t>
  </si>
  <si>
    <t>ha/J  =</t>
  </si>
  <si>
    <r>
      <rPr>
        <sz val="10"/>
        <rFont val="Calibri"/>
        <family val="2"/>
      </rPr>
      <t xml:space="preserve">▪ </t>
    </r>
    <r>
      <rPr>
        <i/>
        <sz val="10"/>
        <rFont val="Arial"/>
        <family val="2"/>
      </rPr>
      <t>anteilige Festkosten der Arbeitsmaschine (z.B. Pflug)</t>
    </r>
  </si>
  <si>
    <t>▪ anteilige Festkosten des Traktors</t>
  </si>
  <si>
    <t>▪ variable Kosten der Arbeitsmaschine</t>
  </si>
  <si>
    <t>▪ variable Kosten des Traktors</t>
  </si>
  <si>
    <t>▪ Nutzungskosten der AKh ständiger Fam-AKh</t>
  </si>
  <si>
    <t>▪ Löhne / Nutzungskosten der AKh ständiger Fremd-AKh</t>
  </si>
  <si>
    <t>▪ Löhne nichtständiger Fremd-AK</t>
  </si>
  <si>
    <t>Flächenleistung  =</t>
  </si>
  <si>
    <t>Kosten je ha</t>
  </si>
  <si>
    <t>Kosten je Jahr   /</t>
  </si>
  <si>
    <t>ha-Einsatz je Jahr  =</t>
  </si>
  <si>
    <t>Traktor</t>
  </si>
  <si>
    <t>Maschinenkosten von Traktor und Gerät</t>
  </si>
  <si>
    <t>Gerät</t>
  </si>
  <si>
    <t>Fest</t>
  </si>
  <si>
    <t>Variabel</t>
  </si>
  <si>
    <r>
      <t xml:space="preserve">Sonst. </t>
    </r>
    <r>
      <rPr>
        <sz val="8"/>
        <rFont val="Arial"/>
        <family val="2"/>
      </rPr>
      <t>(Unterbring., Versicher., Gebühren)</t>
    </r>
  </si>
  <si>
    <t>Gesamtkosten des Gerätes</t>
  </si>
  <si>
    <t>Gesamtkosten des Traktors</t>
  </si>
  <si>
    <r>
      <t xml:space="preserve">€/AKh </t>
    </r>
    <r>
      <rPr>
        <sz val="10"/>
        <rFont val="Calibri"/>
        <family val="2"/>
      </rPr>
      <t>×</t>
    </r>
  </si>
  <si>
    <t>Arbeitskosten: Lohnanspruch d. Fahrers</t>
  </si>
  <si>
    <t>Kosten je h       /</t>
  </si>
  <si>
    <t>Liegeboxenlaufstall für 124 Tierplätze</t>
  </si>
  <si>
    <t xml:space="preserve"> raten gemäß (A - R) / N.</t>
  </si>
  <si>
    <t>Euro / Jahr</t>
  </si>
  <si>
    <t>Stellen</t>
  </si>
  <si>
    <t>Stellen (für Korrekturfaktor)</t>
  </si>
  <si>
    <t>ha/J. =</t>
  </si>
  <si>
    <t>Wertetabelle:</t>
  </si>
  <si>
    <t>Kalkulationszinsfuß = 3%,  Unterbringung: pauschal 160 € je Jahr,</t>
  </si>
  <si>
    <t>Lohnanspruch des Fahrers = 14 €/AKh</t>
  </si>
  <si>
    <t xml:space="preserve">Flächenleistung = 0,97 ha/h, Arbeitszeitbedarf = 1,22 AKh/ha, </t>
  </si>
  <si>
    <t>FK in €/Jahr</t>
  </si>
  <si>
    <t>x ha/Jahr</t>
  </si>
  <si>
    <t>+ VK €/ha</t>
  </si>
  <si>
    <t>Leihgebühr €/ha  -  Var.Ko €/ha</t>
  </si>
  <si>
    <t>x ha/J =</t>
  </si>
  <si>
    <t>€/ha  -</t>
  </si>
  <si>
    <t>€/ha Leihgeb.</t>
  </si>
  <si>
    <t xml:space="preserve">FK </t>
  </si>
  <si>
    <t>MEU Pflug bei Leihgebühr</t>
  </si>
  <si>
    <t>+   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</si>
</sst>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1">
    <numFmt numFmtId="164" formatCode="General_)"/>
    <numFmt numFmtId="165" formatCode="0.0%"/>
    <numFmt numFmtId="166" formatCode="0.0_)"/>
    <numFmt numFmtId="167" formatCode="0_)"/>
    <numFmt numFmtId="168" formatCode="0.00_)"/>
    <numFmt numFmtId="169" formatCode="0.0"/>
    <numFmt numFmtId="170" formatCode="?/15"/>
    <numFmt numFmtId="171" formatCode="0\ &quot;h&quot;"/>
    <numFmt numFmtId="172" formatCode="0.0000"/>
    <numFmt numFmtId="173" formatCode="_-* #,##0.00\ [$€]_-;\-* #,##0.00\ [$€]_-;_-* &quot;-&quot;??\ [$€]_-;_-@_-"/>
    <numFmt numFmtId="174" formatCode="&quot;Formel&quot;"/>
    <numFmt numFmtId="175" formatCode="\×* 0%"/>
    <numFmt numFmtId="176" formatCode="\+* #,##0"/>
    <numFmt numFmtId="177" formatCode="&quot;=&quot;* General"/>
    <numFmt numFmtId="178" formatCode="\(* General"/>
    <numFmt numFmtId="179" formatCode="General\ \ \)"/>
    <numFmt numFmtId="180" formatCode="#,##0\ ;\-#,##0\ ;;"/>
    <numFmt numFmtId="181" formatCode="\+* #,##0\ ;\-* #,##0\ ;;"/>
    <numFmt numFmtId="182" formatCode="&quot;×&quot;* 0.00"/>
    <numFmt numFmtId="183" formatCode="&quot;=&quot;* 0.00"/>
    <numFmt numFmtId="184" formatCode="General\ &quot;x&quot;"/>
    <numFmt numFmtId="185" formatCode="#,##0.00\ "/>
    <numFmt numFmtId="186" formatCode="#,##0\ "/>
    <numFmt numFmtId="187" formatCode="0.0%\ "/>
    <numFmt numFmtId="188" formatCode="0.00\ "/>
    <numFmt numFmtId="189" formatCode="0\ &quot;)&quot;"/>
    <numFmt numFmtId="190" formatCode="#,##0;;;"/>
    <numFmt numFmtId="191" formatCode="0%;;;"/>
    <numFmt numFmtId="192" formatCode="#,##0.00;;;"/>
    <numFmt numFmtId="193" formatCode="#,##0.00\ ;;;"/>
    <numFmt numFmtId="194" formatCode="#,##0\ ;;;"/>
    <numFmt numFmtId="195" formatCode="0;;;"/>
    <numFmt numFmtId="196" formatCode="\+\ \ \ #,##0"/>
    <numFmt numFmtId="197" formatCode="\×\ \ 0%\ \+"/>
    <numFmt numFmtId="198" formatCode="\+\ \ \ \ \ #,##0"/>
    <numFmt numFmtId="199" formatCode="#,##0;\-#,##0;;"/>
    <numFmt numFmtId="200" formatCode="#,##0.00;\-#,##0.00;;"/>
    <numFmt numFmtId="201" formatCode="0.0\ \ \ \="/>
    <numFmt numFmtId="202" formatCode="0.00;;;"/>
    <numFmt numFmtId="203" formatCode="0.000\ "/>
    <numFmt numFmtId="204" formatCode="\=* 0"/>
  </numFmts>
  <fonts count="64"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sz val="10"/>
      <name val="Wingdings"/>
      <charset val="2"/>
    </font>
    <font>
      <b/>
      <sz val="14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Symbol"/>
      <family val="1"/>
      <charset val="2"/>
    </font>
    <font>
      <sz val="18"/>
      <name val="Arial"/>
      <family val="2"/>
    </font>
    <font>
      <sz val="16"/>
      <name val="Arial"/>
      <family val="2"/>
    </font>
    <font>
      <sz val="15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i/>
      <vertAlign val="superscript"/>
      <sz val="10"/>
      <name val="Arial"/>
      <family val="2"/>
    </font>
    <font>
      <i/>
      <sz val="10"/>
      <name val="Symbol"/>
      <family val="1"/>
      <charset val="2"/>
    </font>
    <font>
      <u/>
      <sz val="8"/>
      <name val="Arial"/>
      <family val="2"/>
    </font>
    <font>
      <i/>
      <sz val="9"/>
      <name val="Arial"/>
      <family val="2"/>
    </font>
    <font>
      <sz val="6"/>
      <color indexed="22"/>
      <name val="Arial"/>
      <family val="2"/>
    </font>
    <font>
      <sz val="8"/>
      <name val="Symbol"/>
      <family val="1"/>
      <charset val="2"/>
    </font>
    <font>
      <sz val="8"/>
      <color indexed="22"/>
      <name val="Arial"/>
      <family val="2"/>
    </font>
    <font>
      <vertAlign val="subscript"/>
      <sz val="8"/>
      <name val="Arial"/>
      <family val="2"/>
    </font>
    <font>
      <sz val="6"/>
      <name val="Arial"/>
      <family val="2"/>
    </font>
    <font>
      <sz val="9"/>
      <name val="Arial"/>
      <family val="2"/>
    </font>
    <font>
      <vertAlign val="subscript"/>
      <sz val="9"/>
      <name val="Arial"/>
      <family val="2"/>
    </font>
    <font>
      <sz val="9"/>
      <name val="Symbol"/>
      <family val="1"/>
      <charset val="2"/>
    </font>
    <font>
      <i/>
      <sz val="7"/>
      <name val="Arial"/>
      <family val="2"/>
    </font>
    <font>
      <sz val="10"/>
      <color indexed="12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i/>
      <sz val="10"/>
      <name val="Peterburg"/>
    </font>
    <font>
      <sz val="7"/>
      <color indexed="55"/>
      <name val="Arial"/>
      <family val="2"/>
    </font>
    <font>
      <sz val="20"/>
      <name val="Arial"/>
      <family val="2"/>
    </font>
    <font>
      <b/>
      <vertAlign val="superscript"/>
      <sz val="10"/>
      <name val="Arial"/>
      <family val="2"/>
    </font>
    <font>
      <b/>
      <sz val="10"/>
      <color indexed="12"/>
      <name val="Arial"/>
      <family val="2"/>
    </font>
    <font>
      <sz val="9"/>
      <color indexed="12"/>
      <name val="Arial"/>
      <family val="2"/>
    </font>
    <font>
      <b/>
      <i/>
      <sz val="8"/>
      <name val="Arial"/>
      <family val="2"/>
    </font>
    <font>
      <sz val="8"/>
      <color indexed="81"/>
      <name val="Tahoma"/>
      <family val="2"/>
    </font>
    <font>
      <sz val="10"/>
      <color indexed="23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name val="Calibri"/>
      <family val="2"/>
    </font>
    <font>
      <sz val="10"/>
      <name val="Arial Narrow"/>
      <family val="2"/>
    </font>
    <font>
      <sz val="8"/>
      <name val="Arial Narrow"/>
      <family val="2"/>
    </font>
    <font>
      <b/>
      <sz val="14"/>
      <color rgb="FFC00000"/>
      <name val="Calibri"/>
      <family val="2"/>
      <scheme val="minor"/>
    </font>
    <font>
      <b/>
      <sz val="14"/>
      <color rgb="FFC00000"/>
      <name val="Arial"/>
      <family val="2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22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double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double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hair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/>
      <bottom style="hair">
        <color indexed="64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0"/>
    <xf numFmtId="164" fontId="21" fillId="0" borderId="0" applyNumberFormat="0" applyFill="0" applyBorder="0" applyAlignment="0" applyProtection="0"/>
    <xf numFmtId="0" fontId="24" fillId="2" borderId="0" applyNumberFormat="0" applyFont="0" applyBorder="0" applyAlignment="0">
      <protection locked="0"/>
    </xf>
    <xf numFmtId="173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 applyNumberFormat="0" applyFill="0" applyBorder="0" applyAlignment="0" applyProtection="0"/>
    <xf numFmtId="0" fontId="7" fillId="0" borderId="0" applyNumberFormat="0" applyFill="0" applyBorder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5" fillId="0" borderId="0" applyNumberFormat="0" applyFill="0" applyBorder="0" applyProtection="0">
      <alignment horizontal="left" vertical="top"/>
    </xf>
    <xf numFmtId="0" fontId="20" fillId="0" borderId="0" applyNumberFormat="0" applyFill="0" applyBorder="0" applyAlignment="0" applyProtection="0">
      <alignment vertical="top"/>
    </xf>
    <xf numFmtId="0" fontId="4" fillId="0" borderId="0" applyNumberFormat="0" applyFill="0" applyBorder="0" applyProtection="0">
      <alignment horizontal="left" vertical="top"/>
    </xf>
    <xf numFmtId="0" fontId="21" fillId="0" borderId="0" applyNumberFormat="0" applyFill="0" applyBorder="0" applyAlignment="0" applyProtection="0">
      <alignment vertical="top"/>
    </xf>
    <xf numFmtId="0" fontId="4" fillId="0" borderId="0" applyNumberFormat="0" applyFill="0" applyBorder="0" applyProtection="0">
      <alignment horizontal="left" vertical="top"/>
    </xf>
    <xf numFmtId="0" fontId="47" fillId="0" borderId="0">
      <alignment horizontal="left"/>
    </xf>
    <xf numFmtId="180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24" fillId="0" borderId="0"/>
    <xf numFmtId="0" fontId="1" fillId="0" borderId="0"/>
  </cellStyleXfs>
  <cellXfs count="1668">
    <xf numFmtId="0" fontId="0" fillId="0" borderId="0" xfId="0"/>
    <xf numFmtId="0" fontId="25" fillId="0" borderId="0" xfId="0" applyFont="1" applyAlignment="1">
      <alignment horizontal="left"/>
    </xf>
    <xf numFmtId="0" fontId="24" fillId="0" borderId="0" xfId="0" applyFont="1" applyBorder="1" applyAlignment="1"/>
    <xf numFmtId="164" fontId="24" fillId="0" borderId="0" xfId="0" applyNumberFormat="1" applyFont="1" applyBorder="1" applyAlignment="1" applyProtection="1"/>
    <xf numFmtId="164" fontId="4" fillId="0" borderId="0" xfId="0" applyNumberFormat="1" applyFont="1" applyAlignment="1" applyProtection="1">
      <alignment horizontal="left"/>
    </xf>
    <xf numFmtId="164" fontId="4" fillId="0" borderId="0" xfId="0" applyNumberFormat="1" applyFont="1" applyProtection="1"/>
    <xf numFmtId="0" fontId="4" fillId="0" borderId="0" xfId="0" applyFont="1"/>
    <xf numFmtId="164" fontId="6" fillId="0" borderId="0" xfId="0" applyNumberFormat="1" applyFont="1" applyProtection="1"/>
    <xf numFmtId="164" fontId="3" fillId="0" borderId="0" xfId="0" applyNumberFormat="1" applyFont="1" applyBorder="1" applyAlignment="1" applyProtection="1">
      <alignment horizontal="left"/>
    </xf>
    <xf numFmtId="164" fontId="5" fillId="0" borderId="0" xfId="0" applyNumberFormat="1" applyFont="1" applyAlignment="1" applyProtection="1">
      <alignment horizontal="left"/>
    </xf>
    <xf numFmtId="164" fontId="4" fillId="0" borderId="0" xfId="0" quotePrefix="1" applyNumberFormat="1" applyFont="1" applyAlignment="1" applyProtection="1">
      <alignment horizontal="left"/>
    </xf>
    <xf numFmtId="164" fontId="8" fillId="0" borderId="0" xfId="0" applyNumberFormat="1" applyFont="1" applyAlignment="1" applyProtection="1">
      <alignment horizontal="left"/>
    </xf>
    <xf numFmtId="164" fontId="5" fillId="0" borderId="0" xfId="0" applyNumberFormat="1" applyFont="1" applyProtection="1"/>
    <xf numFmtId="164" fontId="8" fillId="0" borderId="0" xfId="0" applyNumberFormat="1" applyFont="1" applyProtection="1"/>
    <xf numFmtId="0" fontId="3" fillId="0" borderId="0" xfId="0" applyFont="1" applyBorder="1"/>
    <xf numFmtId="164" fontId="3" fillId="0" borderId="0" xfId="0" applyNumberFormat="1" applyFont="1" applyBorder="1" applyProtection="1"/>
    <xf numFmtId="164" fontId="4" fillId="0" borderId="0" xfId="0" applyNumberFormat="1" applyFont="1" applyBorder="1" applyProtection="1"/>
    <xf numFmtId="164" fontId="6" fillId="0" borderId="0" xfId="0" applyNumberFormat="1" applyFont="1" applyBorder="1" applyAlignment="1" applyProtection="1">
      <alignment horizontal="left"/>
    </xf>
    <xf numFmtId="164" fontId="6" fillId="0" borderId="0" xfId="0" applyNumberFormat="1" applyFont="1" applyBorder="1" applyProtection="1"/>
    <xf numFmtId="164" fontId="4" fillId="0" borderId="1" xfId="0" applyNumberFormat="1" applyFont="1" applyBorder="1" applyProtection="1"/>
    <xf numFmtId="164" fontId="4" fillId="0" borderId="2" xfId="0" applyNumberFormat="1" applyFont="1" applyBorder="1" applyAlignment="1" applyProtection="1">
      <alignment horizontal="left"/>
    </xf>
    <xf numFmtId="164" fontId="4" fillId="0" borderId="1" xfId="0" applyNumberFormat="1" applyFont="1" applyBorder="1" applyAlignment="1" applyProtection="1">
      <alignment horizontal="left"/>
    </xf>
    <xf numFmtId="164" fontId="4" fillId="0" borderId="0" xfId="0" applyNumberFormat="1" applyFont="1" applyBorder="1" applyAlignment="1" applyProtection="1">
      <alignment horizontal="left"/>
    </xf>
    <xf numFmtId="164" fontId="3" fillId="0" borderId="0" xfId="0" quotePrefix="1" applyNumberFormat="1" applyFont="1" applyBorder="1" applyAlignment="1" applyProtection="1">
      <alignment horizontal="fill"/>
    </xf>
    <xf numFmtId="164" fontId="5" fillId="0" borderId="0" xfId="0" quotePrefix="1" applyNumberFormat="1" applyFont="1" applyAlignment="1" applyProtection="1">
      <alignment horizontal="left"/>
    </xf>
    <xf numFmtId="0" fontId="16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Continuous"/>
    </xf>
    <xf numFmtId="0" fontId="8" fillId="0" borderId="0" xfId="0" applyFont="1" applyAlignment="1">
      <alignment horizontal="left"/>
    </xf>
    <xf numFmtId="0" fontId="3" fillId="0" borderId="0" xfId="0" applyFont="1"/>
    <xf numFmtId="0" fontId="3" fillId="0" borderId="0" xfId="0" quotePrefix="1" applyFont="1" applyBorder="1" applyAlignment="1">
      <alignment horizontal="fill"/>
    </xf>
    <xf numFmtId="164" fontId="23" fillId="0" borderId="0" xfId="0" applyNumberFormat="1" applyFont="1" applyBorder="1" applyProtection="1"/>
    <xf numFmtId="164" fontId="23" fillId="0" borderId="0" xfId="0" applyNumberFormat="1" applyFont="1" applyBorder="1" applyAlignment="1" applyProtection="1">
      <alignment horizontal="left"/>
    </xf>
    <xf numFmtId="0" fontId="23" fillId="0" borderId="0" xfId="0" applyFont="1"/>
    <xf numFmtId="0" fontId="23" fillId="0" borderId="0" xfId="0" applyFont="1" applyBorder="1"/>
    <xf numFmtId="164" fontId="23" fillId="0" borderId="0" xfId="0" applyNumberFormat="1" applyFont="1" applyProtection="1"/>
    <xf numFmtId="164" fontId="23" fillId="0" borderId="0" xfId="0" quotePrefix="1" applyNumberFormat="1" applyFont="1" applyAlignment="1" applyProtection="1">
      <alignment horizontal="left"/>
    </xf>
    <xf numFmtId="164" fontId="23" fillId="0" borderId="0" xfId="0" applyNumberFormat="1" applyFont="1" applyAlignment="1" applyProtection="1">
      <alignment horizontal="left"/>
    </xf>
    <xf numFmtId="164" fontId="23" fillId="0" borderId="1" xfId="0" applyNumberFormat="1" applyFont="1" applyBorder="1" applyProtection="1"/>
    <xf numFmtId="164" fontId="23" fillId="0" borderId="3" xfId="0" applyNumberFormat="1" applyFont="1" applyBorder="1" applyAlignment="1" applyProtection="1">
      <alignment horizontal="centerContinuous"/>
    </xf>
    <xf numFmtId="164" fontId="23" fillId="0" borderId="0" xfId="0" applyNumberFormat="1" applyFont="1" applyAlignment="1" applyProtection="1">
      <alignment horizontal="centerContinuous"/>
    </xf>
    <xf numFmtId="164" fontId="23" fillId="0" borderId="4" xfId="0" applyNumberFormat="1" applyFont="1" applyBorder="1" applyAlignment="1" applyProtection="1">
      <alignment horizontal="centerContinuous"/>
    </xf>
    <xf numFmtId="0" fontId="23" fillId="0" borderId="5" xfId="0" applyFont="1" applyBorder="1"/>
    <xf numFmtId="164" fontId="23" fillId="0" borderId="0" xfId="0" applyNumberFormat="1" applyFont="1" applyBorder="1" applyAlignment="1" applyProtection="1">
      <alignment horizontal="centerContinuous"/>
    </xf>
    <xf numFmtId="164" fontId="23" fillId="0" borderId="6" xfId="0" applyNumberFormat="1" applyFont="1" applyBorder="1" applyAlignment="1" applyProtection="1">
      <alignment horizontal="centerContinuous"/>
    </xf>
    <xf numFmtId="164" fontId="23" fillId="0" borderId="1" xfId="0" applyNumberFormat="1" applyFont="1" applyBorder="1" applyAlignment="1" applyProtection="1">
      <alignment horizontal="centerContinuous"/>
    </xf>
    <xf numFmtId="0" fontId="23" fillId="0" borderId="7" xfId="0" applyFont="1" applyBorder="1"/>
    <xf numFmtId="164" fontId="23" fillId="0" borderId="2" xfId="0" applyNumberFormat="1" applyFont="1" applyBorder="1" applyAlignment="1" applyProtection="1">
      <alignment horizontal="centerContinuous"/>
    </xf>
    <xf numFmtId="0" fontId="23" fillId="0" borderId="0" xfId="0" applyFont="1" applyAlignment="1">
      <alignment horizontal="left"/>
    </xf>
    <xf numFmtId="164" fontId="23" fillId="0" borderId="0" xfId="0" applyNumberFormat="1" applyFont="1" applyAlignment="1" applyProtection="1">
      <alignment horizontal="center"/>
    </xf>
    <xf numFmtId="0" fontId="23" fillId="0" borderId="0" xfId="0" applyFont="1" applyAlignment="1">
      <alignment horizontal="center"/>
    </xf>
    <xf numFmtId="164" fontId="23" fillId="0" borderId="3" xfId="0" applyNumberFormat="1" applyFont="1" applyBorder="1" applyProtection="1"/>
    <xf numFmtId="164" fontId="23" fillId="0" borderId="8" xfId="0" applyNumberFormat="1" applyFont="1" applyBorder="1" applyProtection="1"/>
    <xf numFmtId="164" fontId="23" fillId="0" borderId="4" xfId="0" applyNumberFormat="1" applyFont="1" applyBorder="1" applyProtection="1"/>
    <xf numFmtId="164" fontId="23" fillId="0" borderId="2" xfId="0" applyNumberFormat="1" applyFont="1" applyBorder="1" applyProtection="1"/>
    <xf numFmtId="164" fontId="23" fillId="0" borderId="0" xfId="0" quotePrefix="1" applyNumberFormat="1" applyFont="1" applyAlignment="1" applyProtection="1">
      <alignment horizontal="centerContinuous"/>
    </xf>
    <xf numFmtId="164" fontId="23" fillId="0" borderId="0" xfId="0" quotePrefix="1" applyNumberFormat="1" applyFont="1" applyAlignment="1" applyProtection="1">
      <alignment horizontal="right"/>
    </xf>
    <xf numFmtId="164" fontId="23" fillId="0" borderId="0" xfId="0" applyNumberFormat="1" applyFont="1" applyAlignment="1" applyProtection="1">
      <alignment horizontal="right"/>
    </xf>
    <xf numFmtId="164" fontId="23" fillId="0" borderId="0" xfId="0" quotePrefix="1" applyNumberFormat="1" applyFont="1" applyAlignment="1" applyProtection="1">
      <alignment horizontal="center"/>
    </xf>
    <xf numFmtId="164" fontId="23" fillId="0" borderId="9" xfId="0" applyNumberFormat="1" applyFont="1" applyBorder="1" applyProtection="1"/>
    <xf numFmtId="0" fontId="23" fillId="0" borderId="0" xfId="0" applyFont="1" applyAlignment="1">
      <alignment horizontal="centerContinuous"/>
    </xf>
    <xf numFmtId="0" fontId="23" fillId="0" borderId="10" xfId="0" applyFont="1" applyBorder="1"/>
    <xf numFmtId="164" fontId="23" fillId="0" borderId="11" xfId="0" applyNumberFormat="1" applyFont="1" applyBorder="1" applyProtection="1"/>
    <xf numFmtId="167" fontId="23" fillId="0" borderId="0" xfId="0" applyNumberFormat="1" applyFont="1" applyProtection="1"/>
    <xf numFmtId="166" fontId="23" fillId="0" borderId="0" xfId="0" applyNumberFormat="1" applyFont="1" applyProtection="1"/>
    <xf numFmtId="164" fontId="23" fillId="0" borderId="12" xfId="0" applyNumberFormat="1" applyFont="1" applyBorder="1" applyAlignment="1" applyProtection="1">
      <alignment horizontal="center"/>
    </xf>
    <xf numFmtId="164" fontId="23" fillId="0" borderId="3" xfId="0" applyNumberFormat="1" applyFont="1" applyBorder="1" applyAlignment="1" applyProtection="1">
      <alignment horizontal="center"/>
    </xf>
    <xf numFmtId="164" fontId="23" fillId="0" borderId="6" xfId="0" applyNumberFormat="1" applyFont="1" applyBorder="1" applyAlignment="1" applyProtection="1">
      <alignment horizontal="center"/>
    </xf>
    <xf numFmtId="164" fontId="23" fillId="0" borderId="0" xfId="0" applyNumberFormat="1" applyFont="1" applyBorder="1" applyAlignment="1" applyProtection="1"/>
    <xf numFmtId="164" fontId="20" fillId="0" borderId="0" xfId="14" applyNumberFormat="1" applyAlignment="1" applyProtection="1"/>
    <xf numFmtId="164" fontId="15" fillId="0" borderId="0" xfId="13" applyNumberFormat="1">
      <alignment horizontal="left" vertical="top"/>
    </xf>
    <xf numFmtId="164" fontId="4" fillId="0" borderId="13" xfId="0" applyNumberFormat="1" applyFont="1" applyBorder="1" applyAlignment="1" applyProtection="1">
      <alignment horizontal="centerContinuous"/>
    </xf>
    <xf numFmtId="164" fontId="23" fillId="0" borderId="14" xfId="0" applyNumberFormat="1" applyFont="1" applyBorder="1" applyAlignment="1" applyProtection="1">
      <alignment horizontal="centerContinuous"/>
    </xf>
    <xf numFmtId="0" fontId="23" fillId="0" borderId="15" xfId="0" applyFont="1" applyBorder="1" applyAlignment="1">
      <alignment horizontal="centerContinuous"/>
    </xf>
    <xf numFmtId="164" fontId="23" fillId="0" borderId="16" xfId="0" applyNumberFormat="1" applyFont="1" applyBorder="1" applyAlignment="1" applyProtection="1">
      <alignment horizontal="centerContinuous"/>
    </xf>
    <xf numFmtId="164" fontId="23" fillId="0" borderId="17" xfId="0" applyNumberFormat="1" applyFont="1" applyBorder="1" applyAlignment="1" applyProtection="1">
      <alignment horizontal="centerContinuous"/>
    </xf>
    <xf numFmtId="164" fontId="20" fillId="0" borderId="0" xfId="14" applyNumberFormat="1" applyAlignment="1"/>
    <xf numFmtId="164" fontId="4" fillId="0" borderId="0" xfId="15" applyNumberFormat="1">
      <alignment horizontal="left" vertical="top"/>
    </xf>
    <xf numFmtId="0" fontId="11" fillId="0" borderId="0" xfId="0" applyFont="1"/>
    <xf numFmtId="164" fontId="23" fillId="0" borderId="0" xfId="0" applyNumberFormat="1" applyFont="1" applyAlignment="1" applyProtection="1"/>
    <xf numFmtId="0" fontId="23" fillId="0" borderId="0" xfId="0" applyFont="1" applyAlignment="1"/>
    <xf numFmtId="164" fontId="4" fillId="0" borderId="0" xfId="15" quotePrefix="1" applyNumberFormat="1" applyProtection="1">
      <alignment horizontal="left" vertical="top"/>
    </xf>
    <xf numFmtId="164" fontId="4" fillId="0" borderId="0" xfId="15" applyNumberFormat="1" applyProtection="1">
      <alignment horizontal="left" vertical="top"/>
    </xf>
    <xf numFmtId="164" fontId="18" fillId="0" borderId="0" xfId="0" applyNumberFormat="1" applyFont="1" applyAlignment="1" applyProtection="1">
      <alignment horizontal="center"/>
    </xf>
    <xf numFmtId="0" fontId="0" fillId="0" borderId="0" xfId="0" quotePrefix="1" applyAlignment="1">
      <alignment horizontal="left"/>
    </xf>
    <xf numFmtId="0" fontId="23" fillId="0" borderId="0" xfId="0" quotePrefix="1" applyFont="1" applyAlignment="1">
      <alignment horizontal="left"/>
    </xf>
    <xf numFmtId="164" fontId="23" fillId="0" borderId="0" xfId="0" quotePrefix="1" applyNumberFormat="1" applyFont="1" applyBorder="1" applyAlignment="1" applyProtection="1"/>
    <xf numFmtId="0" fontId="0" fillId="0" borderId="0" xfId="0" applyAlignment="1">
      <alignment horizontal="centerContinuous"/>
    </xf>
    <xf numFmtId="164" fontId="21" fillId="0" borderId="0" xfId="1" applyNumberFormat="1" applyProtection="1"/>
    <xf numFmtId="164" fontId="21" fillId="0" borderId="0" xfId="1"/>
    <xf numFmtId="164" fontId="18" fillId="0" borderId="0" xfId="0" applyNumberFormat="1" applyFont="1" applyAlignment="1" applyProtection="1">
      <alignment horizontal="left"/>
    </xf>
    <xf numFmtId="164" fontId="17" fillId="0" borderId="0" xfId="0" quotePrefix="1" applyNumberFormat="1" applyFont="1" applyAlignment="1" applyProtection="1">
      <alignment horizontal="left"/>
    </xf>
    <xf numFmtId="164" fontId="17" fillId="0" borderId="0" xfId="0" applyNumberFormat="1" applyFont="1" applyAlignment="1" applyProtection="1">
      <alignment horizontal="left"/>
    </xf>
    <xf numFmtId="164" fontId="7" fillId="0" borderId="0" xfId="11" quotePrefix="1" applyNumberFormat="1" applyProtection="1">
      <alignment vertical="top"/>
    </xf>
    <xf numFmtId="164" fontId="19" fillId="0" borderId="0" xfId="12" applyNumberFormat="1" applyAlignment="1"/>
    <xf numFmtId="0" fontId="0" fillId="0" borderId="0" xfId="0" applyBorder="1"/>
    <xf numFmtId="0" fontId="17" fillId="0" borderId="0" xfId="0" applyFont="1" applyBorder="1"/>
    <xf numFmtId="0" fontId="0" fillId="0" borderId="0" xfId="0" applyFont="1" applyBorder="1" applyAlignment="1"/>
    <xf numFmtId="0" fontId="0" fillId="0" borderId="0" xfId="0" applyFont="1"/>
    <xf numFmtId="0" fontId="0" fillId="0" borderId="0" xfId="0" applyFont="1" applyBorder="1"/>
    <xf numFmtId="0" fontId="24" fillId="0" borderId="0" xfId="0" applyFont="1" applyBorder="1"/>
    <xf numFmtId="0" fontId="24" fillId="0" borderId="0" xfId="0" applyFont="1"/>
    <xf numFmtId="0" fontId="0" fillId="3" borderId="0" xfId="0" applyFont="1" applyFill="1"/>
    <xf numFmtId="0" fontId="17" fillId="0" borderId="0" xfId="0" quotePrefix="1" applyFont="1" applyAlignment="1">
      <alignment horizontal="left"/>
    </xf>
    <xf numFmtId="0" fontId="17" fillId="0" borderId="0" xfId="0" applyFont="1"/>
    <xf numFmtId="0" fontId="0" fillId="3" borderId="0" xfId="0" applyFill="1"/>
    <xf numFmtId="164" fontId="24" fillId="0" borderId="0" xfId="0" applyNumberFormat="1" applyFont="1" applyAlignment="1" applyProtection="1"/>
    <xf numFmtId="0" fontId="23" fillId="0" borderId="0" xfId="0" quotePrefix="1" applyNumberFormat="1" applyFont="1" applyBorder="1" applyAlignment="1" applyProtection="1">
      <alignment horizontal="left" vertical="center"/>
      <protection locked="0"/>
    </xf>
    <xf numFmtId="164" fontId="3" fillId="0" borderId="0" xfId="0" applyNumberFormat="1" applyFont="1" applyBorder="1" applyAlignment="1" applyProtection="1">
      <alignment horizontal="centerContinuous"/>
    </xf>
    <xf numFmtId="0" fontId="0" fillId="0" borderId="0" xfId="0" quotePrefix="1" applyAlignment="1">
      <alignment horizontal="centerContinuous"/>
    </xf>
    <xf numFmtId="164" fontId="23" fillId="0" borderId="0" xfId="0" quotePrefix="1" applyNumberFormat="1" applyFont="1" applyBorder="1" applyAlignment="1" applyProtection="1">
      <alignment horizontal="left"/>
    </xf>
    <xf numFmtId="164" fontId="3" fillId="0" borderId="0" xfId="0" quotePrefix="1" applyNumberFormat="1" applyFont="1" applyAlignment="1" applyProtection="1">
      <alignment horizontal="left"/>
    </xf>
    <xf numFmtId="0" fontId="24" fillId="0" borderId="0" xfId="0" applyFont="1" applyAlignment="1"/>
    <xf numFmtId="164" fontId="3" fillId="0" borderId="0" xfId="0" applyNumberFormat="1" applyFont="1" applyAlignment="1" applyProtection="1"/>
    <xf numFmtId="0" fontId="3" fillId="0" borderId="0" xfId="0" applyFont="1" applyAlignment="1"/>
    <xf numFmtId="164" fontId="24" fillId="0" borderId="0" xfId="0" applyNumberFormat="1" applyFont="1" applyAlignment="1" applyProtection="1">
      <alignment horizontal="centerContinuous"/>
    </xf>
    <xf numFmtId="0" fontId="17" fillId="0" borderId="0" xfId="0" quotePrefix="1" applyFont="1" applyAlignment="1">
      <alignment horizontal="left" vertical="top"/>
    </xf>
    <xf numFmtId="164" fontId="17" fillId="0" borderId="0" xfId="0" applyNumberFormat="1" applyFont="1" applyAlignment="1" applyProtection="1">
      <alignment horizontal="left" vertical="top"/>
    </xf>
    <xf numFmtId="164" fontId="21" fillId="3" borderId="0" xfId="1" applyFill="1"/>
    <xf numFmtId="1" fontId="0" fillId="0" borderId="0" xfId="0" applyNumberFormat="1"/>
    <xf numFmtId="164" fontId="4" fillId="0" borderId="18" xfId="0" applyNumberFormat="1" applyFont="1" applyBorder="1" applyAlignment="1" applyProtection="1">
      <alignment horizontal="left"/>
    </xf>
    <xf numFmtId="164" fontId="4" fillId="0" borderId="11" xfId="0" applyNumberFormat="1" applyFont="1" applyBorder="1" applyProtection="1"/>
    <xf numFmtId="164" fontId="4" fillId="0" borderId="19" xfId="0" applyNumberFormat="1" applyFont="1" applyBorder="1" applyAlignment="1" applyProtection="1">
      <alignment horizontal="left"/>
    </xf>
    <xf numFmtId="164" fontId="4" fillId="0" borderId="20" xfId="0" applyNumberFormat="1" applyFont="1" applyBorder="1" applyAlignment="1" applyProtection="1">
      <alignment horizontal="left"/>
    </xf>
    <xf numFmtId="164" fontId="23" fillId="0" borderId="19" xfId="0" applyNumberFormat="1" applyFont="1" applyBorder="1" applyProtection="1"/>
    <xf numFmtId="9" fontId="23" fillId="0" borderId="0" xfId="0" applyNumberFormat="1" applyFont="1" applyBorder="1" applyProtection="1"/>
    <xf numFmtId="166" fontId="23" fillId="0" borderId="0" xfId="0" applyNumberFormat="1" applyFont="1" applyBorder="1" applyProtection="1"/>
    <xf numFmtId="164" fontId="23" fillId="0" borderId="19" xfId="0" applyNumberFormat="1" applyFont="1" applyBorder="1" applyAlignment="1" applyProtection="1">
      <alignment horizontal="left"/>
    </xf>
    <xf numFmtId="164" fontId="4" fillId="0" borderId="21" xfId="0" applyNumberFormat="1" applyFont="1" applyBorder="1" applyAlignment="1" applyProtection="1">
      <alignment horizontal="left"/>
    </xf>
    <xf numFmtId="164" fontId="4" fillId="0" borderId="22" xfId="0" applyNumberFormat="1" applyFont="1" applyBorder="1" applyAlignment="1" applyProtection="1">
      <alignment horizontal="left"/>
    </xf>
    <xf numFmtId="164" fontId="4" fillId="0" borderId="23" xfId="0" applyNumberFormat="1" applyFont="1" applyBorder="1" applyProtection="1"/>
    <xf numFmtId="164" fontId="4" fillId="0" borderId="24" xfId="0" applyNumberFormat="1" applyFont="1" applyBorder="1" applyAlignment="1" applyProtection="1">
      <alignment horizontal="left"/>
    </xf>
    <xf numFmtId="164" fontId="17" fillId="0" borderId="19" xfId="0" applyNumberFormat="1" applyFont="1" applyBorder="1" applyAlignment="1" applyProtection="1">
      <alignment horizontal="left"/>
    </xf>
    <xf numFmtId="0" fontId="0" fillId="0" borderId="0" xfId="0" quotePrefix="1" applyBorder="1" applyAlignment="1">
      <alignment horizontal="right"/>
    </xf>
    <xf numFmtId="1" fontId="23" fillId="0" borderId="0" xfId="0" applyNumberFormat="1" applyFont="1" applyAlignment="1" applyProtection="1"/>
    <xf numFmtId="164" fontId="23" fillId="0" borderId="9" xfId="0" quotePrefix="1" applyNumberFormat="1" applyFont="1" applyBorder="1" applyAlignment="1" applyProtection="1">
      <alignment horizontal="left"/>
    </xf>
    <xf numFmtId="164" fontId="25" fillId="0" borderId="0" xfId="0" applyNumberFormat="1" applyFont="1" applyBorder="1" applyAlignment="1" applyProtection="1">
      <alignment horizontal="left"/>
    </xf>
    <xf numFmtId="164" fontId="8" fillId="0" borderId="0" xfId="0" applyNumberFormat="1" applyFont="1" applyBorder="1" applyAlignment="1" applyProtection="1">
      <alignment horizontal="left"/>
    </xf>
    <xf numFmtId="164" fontId="23" fillId="0" borderId="0" xfId="0" quotePrefix="1" applyNumberFormat="1" applyFont="1" applyBorder="1" applyAlignment="1" applyProtection="1">
      <alignment horizontal="center"/>
    </xf>
    <xf numFmtId="0" fontId="0" fillId="0" borderId="0" xfId="0" applyAlignment="1">
      <alignment horizontal="left"/>
    </xf>
    <xf numFmtId="0" fontId="23" fillId="0" borderId="5" xfId="0" applyFont="1" applyBorder="1" applyAlignment="1">
      <alignment horizontal="centerContinuous"/>
    </xf>
    <xf numFmtId="0" fontId="23" fillId="0" borderId="7" xfId="0" applyFont="1" applyBorder="1" applyAlignment="1">
      <alignment horizontal="centerContinuous"/>
    </xf>
    <xf numFmtId="0" fontId="22" fillId="0" borderId="0" xfId="0" applyFont="1"/>
    <xf numFmtId="3" fontId="0" fillId="0" borderId="0" xfId="0" applyNumberFormat="1"/>
    <xf numFmtId="164" fontId="3" fillId="0" borderId="0" xfId="0" applyNumberFormat="1" applyFont="1" applyAlignment="1" applyProtection="1">
      <alignment horizontal="left"/>
    </xf>
    <xf numFmtId="0" fontId="23" fillId="0" borderId="0" xfId="0" applyFont="1" applyAlignment="1">
      <alignment horizontal="right"/>
    </xf>
    <xf numFmtId="9" fontId="23" fillId="0" borderId="0" xfId="0" applyNumberFormat="1" applyFont="1"/>
    <xf numFmtId="0" fontId="8" fillId="0" borderId="0" xfId="0" applyFont="1"/>
    <xf numFmtId="164" fontId="0" fillId="0" borderId="0" xfId="0" applyNumberFormat="1" applyFont="1" applyBorder="1" applyProtection="1"/>
    <xf numFmtId="0" fontId="0" fillId="0" borderId="0" xfId="0" quotePrefix="1" applyFont="1" applyBorder="1" applyAlignment="1">
      <alignment horizontal="fill"/>
    </xf>
    <xf numFmtId="0" fontId="0" fillId="0" borderId="0" xfId="0" applyFont="1" applyBorder="1" applyAlignment="1">
      <alignment horizontal="fill"/>
    </xf>
    <xf numFmtId="0" fontId="0" fillId="0" borderId="0" xfId="0" quotePrefix="1" applyFont="1" applyBorder="1" applyAlignment="1">
      <alignment horizontal="right"/>
    </xf>
    <xf numFmtId="9" fontId="23" fillId="0" borderId="0" xfId="4" applyFont="1"/>
    <xf numFmtId="3" fontId="23" fillId="0" borderId="0" xfId="0" applyNumberFormat="1" applyFont="1"/>
    <xf numFmtId="0" fontId="23" fillId="0" borderId="25" xfId="0" applyFont="1" applyBorder="1"/>
    <xf numFmtId="3" fontId="0" fillId="0" borderId="25" xfId="0" applyNumberFormat="1" applyBorder="1"/>
    <xf numFmtId="3" fontId="23" fillId="0" borderId="25" xfId="0" applyNumberFormat="1" applyFont="1" applyBorder="1"/>
    <xf numFmtId="164" fontId="0" fillId="0" borderId="0" xfId="0" applyNumberFormat="1" applyFont="1" applyFill="1" applyProtection="1"/>
    <xf numFmtId="164" fontId="0" fillId="0" borderId="4" xfId="0" applyNumberFormat="1" applyFont="1" applyFill="1" applyBorder="1" applyAlignment="1" applyProtection="1">
      <alignment horizontal="left"/>
    </xf>
    <xf numFmtId="167" fontId="0" fillId="0" borderId="4" xfId="0" applyNumberFormat="1" applyFont="1" applyFill="1" applyBorder="1" applyProtection="1"/>
    <xf numFmtId="164" fontId="17" fillId="0" borderId="4" xfId="0" applyNumberFormat="1" applyFont="1" applyFill="1" applyBorder="1" applyAlignment="1" applyProtection="1">
      <alignment horizontal="left"/>
    </xf>
    <xf numFmtId="164" fontId="17" fillId="0" borderId="26" xfId="0" applyNumberFormat="1" applyFont="1" applyFill="1" applyBorder="1" applyAlignment="1" applyProtection="1">
      <alignment horizontal="left"/>
    </xf>
    <xf numFmtId="0" fontId="0" fillId="0" borderId="0" xfId="0" applyFill="1" applyBorder="1"/>
    <xf numFmtId="0" fontId="3" fillId="0" borderId="0" xfId="0" applyFont="1" applyBorder="1" applyAlignment="1"/>
    <xf numFmtId="164" fontId="7" fillId="0" borderId="0" xfId="11" quotePrefix="1" applyNumberFormat="1" applyFont="1" applyAlignment="1" applyProtection="1">
      <alignment horizontal="left" vertical="top"/>
    </xf>
    <xf numFmtId="164" fontId="21" fillId="0" borderId="0" xfId="16" applyNumberFormat="1" applyAlignment="1">
      <alignment horizontal="left"/>
    </xf>
    <xf numFmtId="164" fontId="4" fillId="0" borderId="0" xfId="15" quotePrefix="1" applyNumberFormat="1" applyFont="1" applyAlignment="1">
      <alignment horizontal="left" vertical="top"/>
    </xf>
    <xf numFmtId="164" fontId="19" fillId="0" borderId="0" xfId="12" applyNumberFormat="1" applyAlignment="1" applyProtection="1"/>
    <xf numFmtId="164" fontId="21" fillId="0" borderId="0" xfId="16" applyNumberFormat="1" applyAlignment="1" applyProtection="1">
      <alignment horizontal="left"/>
    </xf>
    <xf numFmtId="0" fontId="15" fillId="0" borderId="0" xfId="13" quotePrefix="1" applyFont="1" applyAlignment="1">
      <alignment horizontal="left" vertical="top"/>
    </xf>
    <xf numFmtId="164" fontId="21" fillId="0" borderId="0" xfId="0" applyNumberFormat="1" applyFont="1" applyProtection="1"/>
    <xf numFmtId="164" fontId="5" fillId="0" borderId="27" xfId="0" applyNumberFormat="1" applyFont="1" applyFill="1" applyBorder="1" applyAlignment="1" applyProtection="1">
      <alignment horizontal="left"/>
    </xf>
    <xf numFmtId="165" fontId="23" fillId="0" borderId="0" xfId="4" applyNumberFormat="1" applyFont="1"/>
    <xf numFmtId="0" fontId="23" fillId="0" borderId="28" xfId="0" applyFont="1" applyBorder="1"/>
    <xf numFmtId="0" fontId="23" fillId="0" borderId="17" xfId="0" applyFont="1" applyBorder="1"/>
    <xf numFmtId="0" fontId="23" fillId="0" borderId="16" xfId="0" applyFont="1" applyBorder="1"/>
    <xf numFmtId="0" fontId="23" fillId="0" borderId="27" xfId="0" applyFont="1" applyBorder="1"/>
    <xf numFmtId="0" fontId="29" fillId="0" borderId="0" xfId="0" applyFont="1" applyAlignment="1">
      <alignment vertical="top"/>
    </xf>
    <xf numFmtId="0" fontId="23" fillId="3" borderId="0" xfId="0" applyFont="1" applyFill="1"/>
    <xf numFmtId="10" fontId="23" fillId="0" borderId="0" xfId="4" applyNumberFormat="1" applyFont="1"/>
    <xf numFmtId="0" fontId="5" fillId="0" borderId="0" xfId="0" applyFont="1" applyAlignment="1">
      <alignment horizontal="right"/>
    </xf>
    <xf numFmtId="164" fontId="15" fillId="0" borderId="0" xfId="13" applyNumberFormat="1" applyFont="1" applyAlignment="1">
      <alignment horizontal="left" vertical="top"/>
    </xf>
    <xf numFmtId="0" fontId="21" fillId="0" borderId="0" xfId="0" applyFont="1"/>
    <xf numFmtId="164" fontId="15" fillId="0" borderId="0" xfId="13" applyNumberFormat="1" applyFont="1">
      <alignment horizontal="left" vertical="top"/>
    </xf>
    <xf numFmtId="164" fontId="4" fillId="0" borderId="13" xfId="0" applyNumberFormat="1" applyFont="1" applyFill="1" applyBorder="1" applyAlignment="1" applyProtection="1">
      <alignment horizontal="centerContinuous"/>
    </xf>
    <xf numFmtId="164" fontId="4" fillId="0" borderId="29" xfId="0" applyNumberFormat="1" applyFont="1" applyFill="1" applyBorder="1" applyAlignment="1" applyProtection="1">
      <alignment horizontal="centerContinuous"/>
    </xf>
    <xf numFmtId="164" fontId="4" fillId="0" borderId="30" xfId="0" applyNumberFormat="1" applyFont="1" applyFill="1" applyBorder="1" applyAlignment="1" applyProtection="1">
      <alignment horizontal="centerContinuous"/>
    </xf>
    <xf numFmtId="164" fontId="4" fillId="0" borderId="31" xfId="0" applyNumberFormat="1" applyFont="1" applyFill="1" applyBorder="1" applyAlignment="1" applyProtection="1">
      <alignment horizontal="centerContinuous"/>
    </xf>
    <xf numFmtId="0" fontId="5" fillId="0" borderId="25" xfId="0" quotePrefix="1" applyFont="1" applyBorder="1" applyAlignment="1">
      <alignment horizontal="right"/>
    </xf>
    <xf numFmtId="0" fontId="5" fillId="0" borderId="25" xfId="0" applyFont="1" applyBorder="1" applyAlignment="1">
      <alignment horizontal="right"/>
    </xf>
    <xf numFmtId="0" fontId="30" fillId="0" borderId="0" xfId="0" applyFont="1"/>
    <xf numFmtId="9" fontId="30" fillId="0" borderId="0" xfId="4" applyFont="1"/>
    <xf numFmtId="0" fontId="5" fillId="0" borderId="0" xfId="0" applyFont="1"/>
    <xf numFmtId="3" fontId="5" fillId="0" borderId="0" xfId="0" applyNumberFormat="1" applyFont="1"/>
    <xf numFmtId="3" fontId="5" fillId="0" borderId="0" xfId="0" quotePrefix="1" applyNumberFormat="1" applyFont="1" applyAlignment="1">
      <alignment horizontal="right"/>
    </xf>
    <xf numFmtId="0" fontId="5" fillId="0" borderId="0" xfId="0" applyFont="1" applyBorder="1" applyAlignment="1">
      <alignment horizontal="right"/>
    </xf>
    <xf numFmtId="9" fontId="5" fillId="0" borderId="0" xfId="4" applyFont="1"/>
    <xf numFmtId="164" fontId="6" fillId="0" borderId="0" xfId="0" applyNumberFormat="1" applyFont="1" applyAlignment="1" applyProtection="1">
      <alignment horizontal="left"/>
    </xf>
    <xf numFmtId="164" fontId="3" fillId="0" borderId="0" xfId="0" applyNumberFormat="1" applyFont="1" applyProtection="1"/>
    <xf numFmtId="9" fontId="23" fillId="0" borderId="25" xfId="4" applyFont="1" applyBorder="1"/>
    <xf numFmtId="171" fontId="23" fillId="0" borderId="0" xfId="0" applyNumberFormat="1" applyFont="1"/>
    <xf numFmtId="171" fontId="23" fillId="0" borderId="25" xfId="0" applyNumberFormat="1" applyFont="1" applyBorder="1"/>
    <xf numFmtId="164" fontId="3" fillId="0" borderId="0" xfId="0" applyNumberFormat="1" applyFont="1" applyAlignment="1" applyProtection="1">
      <alignment horizontal="centerContinuous"/>
    </xf>
    <xf numFmtId="0" fontId="5" fillId="0" borderId="0" xfId="0" applyFont="1" applyAlignment="1"/>
    <xf numFmtId="172" fontId="5" fillId="0" borderId="0" xfId="0" applyNumberFormat="1" applyFont="1" applyProtection="1"/>
    <xf numFmtId="9" fontId="23" fillId="0" borderId="0" xfId="4" applyFont="1" applyProtection="1"/>
    <xf numFmtId="9" fontId="5" fillId="0" borderId="0" xfId="4" applyFont="1" applyProtection="1"/>
    <xf numFmtId="164" fontId="5" fillId="0" borderId="0" xfId="0" applyNumberFormat="1" applyFont="1" applyAlignment="1" applyProtection="1">
      <alignment horizontal="center"/>
    </xf>
    <xf numFmtId="3" fontId="5" fillId="0" borderId="0" xfId="0" applyNumberFormat="1" applyFont="1" applyAlignment="1" applyProtection="1">
      <alignment horizontal="center"/>
    </xf>
    <xf numFmtId="3" fontId="5" fillId="0" borderId="0" xfId="0" applyNumberFormat="1" applyFont="1" applyAlignment="1">
      <alignment horizontal="center"/>
    </xf>
    <xf numFmtId="3" fontId="5" fillId="0" borderId="0" xfId="4" applyNumberFormat="1" applyFont="1" applyAlignment="1" applyProtection="1">
      <alignment horizontal="center"/>
    </xf>
    <xf numFmtId="0" fontId="33" fillId="0" borderId="0" xfId="0" applyFont="1"/>
    <xf numFmtId="0" fontId="23" fillId="0" borderId="1" xfId="0" applyFont="1" applyBorder="1" applyAlignment="1">
      <alignment horizontal="centerContinuous"/>
    </xf>
    <xf numFmtId="0" fontId="26" fillId="0" borderId="0" xfId="0" applyFont="1" applyAlignment="1">
      <alignment horizontal="right"/>
    </xf>
    <xf numFmtId="170" fontId="26" fillId="0" borderId="0" xfId="0" applyNumberFormat="1" applyFont="1"/>
    <xf numFmtId="3" fontId="26" fillId="0" borderId="0" xfId="0" applyNumberFormat="1" applyFont="1"/>
    <xf numFmtId="0" fontId="26" fillId="0" borderId="25" xfId="0" applyFont="1" applyBorder="1" applyAlignment="1">
      <alignment horizontal="right"/>
    </xf>
    <xf numFmtId="165" fontId="5" fillId="0" borderId="0" xfId="4" applyNumberFormat="1" applyFont="1"/>
    <xf numFmtId="0" fontId="5" fillId="0" borderId="0" xfId="0" applyFont="1" applyBorder="1"/>
    <xf numFmtId="170" fontId="26" fillId="0" borderId="0" xfId="0" applyNumberFormat="1" applyFont="1" applyBorder="1"/>
    <xf numFmtId="165" fontId="5" fillId="0" borderId="0" xfId="4" applyNumberFormat="1" applyFont="1" applyBorder="1"/>
    <xf numFmtId="3" fontId="26" fillId="0" borderId="0" xfId="0" applyNumberFormat="1" applyFont="1" applyBorder="1"/>
    <xf numFmtId="0" fontId="5" fillId="0" borderId="0" xfId="0" quotePrefix="1" applyFont="1"/>
    <xf numFmtId="0" fontId="26" fillId="0" borderId="0" xfId="0" applyFont="1"/>
    <xf numFmtId="9" fontId="26" fillId="0" borderId="0" xfId="4" applyFont="1"/>
    <xf numFmtId="0" fontId="26" fillId="0" borderId="0" xfId="0" applyFont="1" applyBorder="1"/>
    <xf numFmtId="0" fontId="26" fillId="0" borderId="0" xfId="0" applyFont="1" applyAlignment="1">
      <alignment horizontal="centerContinuous"/>
    </xf>
    <xf numFmtId="0" fontId="26" fillId="0" borderId="25" xfId="0" applyFont="1" applyBorder="1" applyAlignment="1">
      <alignment horizontal="centerContinuous"/>
    </xf>
    <xf numFmtId="0" fontId="23" fillId="0" borderId="25" xfId="0" applyFont="1" applyBorder="1" applyAlignment="1">
      <alignment horizontal="centerContinuous"/>
    </xf>
    <xf numFmtId="0" fontId="5" fillId="0" borderId="0" xfId="0" applyFont="1" applyBorder="1" applyAlignment="1"/>
    <xf numFmtId="3" fontId="5" fillId="0" borderId="0" xfId="0" applyNumberFormat="1" applyFont="1" applyBorder="1"/>
    <xf numFmtId="164" fontId="34" fillId="0" borderId="16" xfId="0" applyNumberFormat="1" applyFont="1" applyBorder="1" applyProtection="1"/>
    <xf numFmtId="164" fontId="9" fillId="0" borderId="16" xfId="0" applyNumberFormat="1" applyFont="1" applyBorder="1" applyProtection="1"/>
    <xf numFmtId="0" fontId="9" fillId="0" borderId="16" xfId="0" applyFont="1" applyBorder="1"/>
    <xf numFmtId="3" fontId="23" fillId="0" borderId="0" xfId="0" applyNumberFormat="1" applyFont="1" applyProtection="1"/>
    <xf numFmtId="9" fontId="5" fillId="0" borderId="0" xfId="4" applyFont="1" applyBorder="1"/>
    <xf numFmtId="164" fontId="5" fillId="0" borderId="0" xfId="0" quotePrefix="1" applyNumberFormat="1" applyFont="1" applyProtection="1"/>
    <xf numFmtId="164" fontId="15" fillId="0" borderId="0" xfId="5" applyNumberFormat="1" applyFont="1" applyAlignment="1" applyProtection="1">
      <alignment horizontal="left"/>
    </xf>
    <xf numFmtId="0" fontId="3" fillId="0" borderId="0" xfId="5" applyFont="1"/>
    <xf numFmtId="164" fontId="15" fillId="0" borderId="0" xfId="5" applyNumberFormat="1" applyFont="1" applyProtection="1"/>
    <xf numFmtId="0" fontId="3" fillId="0" borderId="0" xfId="5" quotePrefix="1" applyFont="1"/>
    <xf numFmtId="0" fontId="5" fillId="0" borderId="28" xfId="5" applyFont="1" applyBorder="1"/>
    <xf numFmtId="0" fontId="5" fillId="0" borderId="27" xfId="5" applyFont="1" applyBorder="1"/>
    <xf numFmtId="0" fontId="5" fillId="4" borderId="10" xfId="5" applyNumberFormat="1" applyFont="1" applyFill="1" applyBorder="1"/>
    <xf numFmtId="3" fontId="5" fillId="0" borderId="10" xfId="5" applyNumberFormat="1" applyFont="1" applyBorder="1"/>
    <xf numFmtId="0" fontId="5" fillId="0" borderId="13" xfId="5" applyFont="1" applyBorder="1" applyAlignment="1">
      <alignment horizontal="centerContinuous"/>
    </xf>
    <xf numFmtId="0" fontId="3" fillId="0" borderId="14" xfId="5" applyFont="1" applyBorder="1" applyAlignment="1">
      <alignment horizontal="centerContinuous"/>
    </xf>
    <xf numFmtId="0" fontId="3" fillId="0" borderId="15" xfId="5" applyFont="1" applyBorder="1" applyAlignment="1">
      <alignment horizontal="centerContinuous"/>
    </xf>
    <xf numFmtId="0" fontId="5" fillId="0" borderId="16" xfId="5" applyFont="1" applyBorder="1"/>
    <xf numFmtId="0" fontId="5" fillId="0" borderId="0" xfId="5" applyFont="1" applyBorder="1"/>
    <xf numFmtId="9" fontId="5" fillId="4" borderId="5" xfId="5" applyNumberFormat="1" applyFont="1" applyFill="1" applyBorder="1"/>
    <xf numFmtId="0" fontId="5" fillId="0" borderId="17" xfId="5" applyFont="1" applyBorder="1" applyAlignment="1">
      <alignment horizontal="left"/>
    </xf>
    <xf numFmtId="165" fontId="5" fillId="0" borderId="7" xfId="4" applyNumberFormat="1" applyFont="1" applyBorder="1"/>
    <xf numFmtId="174" fontId="35" fillId="0" borderId="32" xfId="5" applyNumberFormat="1" applyFont="1" applyBorder="1" applyAlignment="1" applyProtection="1">
      <alignment horizontal="center"/>
    </xf>
    <xf numFmtId="164" fontId="5" fillId="0" borderId="33" xfId="5" applyNumberFormat="1" applyFont="1" applyBorder="1" applyAlignment="1" applyProtection="1">
      <alignment horizontal="center"/>
    </xf>
    <xf numFmtId="164" fontId="5" fillId="0" borderId="34" xfId="5" applyNumberFormat="1" applyFont="1" applyBorder="1" applyAlignment="1" applyProtection="1">
      <alignment horizontal="center"/>
    </xf>
    <xf numFmtId="164" fontId="5" fillId="0" borderId="35" xfId="5" applyNumberFormat="1" applyFont="1" applyBorder="1" applyAlignment="1" applyProtection="1">
      <alignment horizontal="center"/>
    </xf>
    <xf numFmtId="0" fontId="5" fillId="0" borderId="25" xfId="5" applyFont="1" applyBorder="1"/>
    <xf numFmtId="0" fontId="5" fillId="4" borderId="7" xfId="5" applyFont="1" applyFill="1" applyBorder="1"/>
    <xf numFmtId="165" fontId="5" fillId="0" borderId="36" xfId="5" applyNumberFormat="1" applyFont="1" applyBorder="1" applyProtection="1"/>
    <xf numFmtId="10" fontId="5" fillId="0" borderId="37" xfId="4" applyNumberFormat="1" applyFont="1" applyBorder="1" applyAlignment="1" applyProtection="1">
      <alignment horizontal="center"/>
    </xf>
    <xf numFmtId="10" fontId="5" fillId="0" borderId="38" xfId="4" applyNumberFormat="1" applyFont="1" applyBorder="1" applyAlignment="1" applyProtection="1">
      <alignment horizontal="center"/>
    </xf>
    <xf numFmtId="10" fontId="5" fillId="0" borderId="39" xfId="4" applyNumberFormat="1" applyFont="1" applyBorder="1" applyAlignment="1" applyProtection="1">
      <alignment horizontal="center"/>
    </xf>
    <xf numFmtId="168" fontId="3" fillId="0" borderId="0" xfId="5" applyNumberFormat="1" applyFont="1" applyProtection="1"/>
    <xf numFmtId="165" fontId="5" fillId="0" borderId="40" xfId="5" applyNumberFormat="1" applyFont="1" applyBorder="1" applyProtection="1"/>
    <xf numFmtId="10" fontId="5" fillId="0" borderId="41" xfId="4" applyNumberFormat="1" applyFont="1" applyBorder="1" applyAlignment="1" applyProtection="1">
      <alignment horizontal="center"/>
    </xf>
    <xf numFmtId="10" fontId="5" fillId="0" borderId="42" xfId="4" applyNumberFormat="1" applyFont="1" applyBorder="1" applyAlignment="1" applyProtection="1">
      <alignment horizontal="center"/>
    </xf>
    <xf numFmtId="10" fontId="5" fillId="0" borderId="43" xfId="4" applyNumberFormat="1" applyFont="1" applyBorder="1" applyAlignment="1" applyProtection="1">
      <alignment horizontal="center"/>
    </xf>
    <xf numFmtId="0" fontId="5" fillId="0" borderId="44" xfId="5" applyFont="1" applyBorder="1" applyAlignment="1">
      <alignment horizontal="center"/>
    </xf>
    <xf numFmtId="0" fontId="5" fillId="0" borderId="45" xfId="5" applyFont="1" applyBorder="1" applyAlignment="1">
      <alignment horizontal="center"/>
    </xf>
    <xf numFmtId="0" fontId="5" fillId="0" borderId="45" xfId="5" quotePrefix="1" applyFont="1" applyBorder="1" applyAlignment="1">
      <alignment horizontal="center"/>
    </xf>
    <xf numFmtId="0" fontId="5" fillId="0" borderId="46" xfId="5" applyFont="1" applyBorder="1" applyAlignment="1">
      <alignment horizontal="center"/>
    </xf>
    <xf numFmtId="0" fontId="5" fillId="0" borderId="47" xfId="5" applyFont="1" applyBorder="1" applyAlignment="1">
      <alignment horizontal="center"/>
    </xf>
    <xf numFmtId="0" fontId="5" fillId="0" borderId="48" xfId="5" applyFont="1" applyBorder="1" applyAlignment="1">
      <alignment horizontal="center"/>
    </xf>
    <xf numFmtId="0" fontId="5" fillId="0" borderId="49" xfId="5" applyFont="1" applyBorder="1" applyAlignment="1">
      <alignment horizontal="center"/>
    </xf>
    <xf numFmtId="0" fontId="5" fillId="0" borderId="16" xfId="5" applyFont="1" applyBorder="1" applyAlignment="1">
      <alignment horizontal="right"/>
    </xf>
    <xf numFmtId="3" fontId="5" fillId="0" borderId="50" xfId="5" applyNumberFormat="1" applyFont="1" applyBorder="1" applyProtection="1"/>
    <xf numFmtId="3" fontId="5" fillId="0" borderId="50" xfId="5" applyNumberFormat="1" applyFont="1" applyBorder="1"/>
    <xf numFmtId="3" fontId="5" fillId="0" borderId="51" xfId="5" applyNumberFormat="1" applyFont="1" applyBorder="1" applyProtection="1"/>
    <xf numFmtId="165" fontId="5" fillId="0" borderId="52" xfId="5" applyNumberFormat="1" applyFont="1" applyBorder="1" applyProtection="1"/>
    <xf numFmtId="10" fontId="5" fillId="0" borderId="53" xfId="4" applyNumberFormat="1" applyFont="1" applyBorder="1" applyAlignment="1" applyProtection="1">
      <alignment horizontal="center"/>
    </xf>
    <xf numFmtId="10" fontId="5" fillId="0" borderId="54" xfId="4" applyNumberFormat="1" applyFont="1" applyBorder="1" applyAlignment="1" applyProtection="1">
      <alignment horizontal="center"/>
    </xf>
    <xf numFmtId="10" fontId="5" fillId="0" borderId="55" xfId="4" applyNumberFormat="1" applyFont="1" applyBorder="1" applyAlignment="1" applyProtection="1">
      <alignment horizontal="center"/>
    </xf>
    <xf numFmtId="0" fontId="5" fillId="0" borderId="17" xfId="5" applyFont="1" applyBorder="1" applyAlignment="1">
      <alignment horizontal="right"/>
    </xf>
    <xf numFmtId="3" fontId="5" fillId="0" borderId="48" xfId="5" applyNumberFormat="1" applyFont="1" applyBorder="1" applyProtection="1"/>
    <xf numFmtId="3" fontId="5" fillId="0" borderId="48" xfId="5" applyNumberFormat="1" applyFont="1" applyBorder="1"/>
    <xf numFmtId="3" fontId="5" fillId="0" borderId="49" xfId="5" applyNumberFormat="1" applyFont="1" applyBorder="1" applyProtection="1"/>
    <xf numFmtId="3" fontId="3" fillId="0" borderId="0" xfId="5" applyNumberFormat="1" applyFont="1"/>
    <xf numFmtId="9" fontId="3" fillId="0" borderId="0" xfId="4" applyFont="1"/>
    <xf numFmtId="0" fontId="23" fillId="0" borderId="25" xfId="0" applyFont="1" applyBorder="1" applyAlignment="1">
      <alignment horizontal="right"/>
    </xf>
    <xf numFmtId="0" fontId="24" fillId="0" borderId="0" xfId="6"/>
    <xf numFmtId="0" fontId="26" fillId="0" borderId="28" xfId="6" applyFont="1" applyBorder="1"/>
    <xf numFmtId="3" fontId="26" fillId="5" borderId="10" xfId="6" applyNumberFormat="1" applyFont="1" applyFill="1" applyBorder="1"/>
    <xf numFmtId="0" fontId="26" fillId="0" borderId="0" xfId="6" applyFont="1"/>
    <xf numFmtId="3" fontId="26" fillId="0" borderId="10" xfId="6" applyNumberFormat="1" applyFont="1" applyBorder="1"/>
    <xf numFmtId="0" fontId="26" fillId="0" borderId="16" xfId="6" applyFont="1" applyBorder="1"/>
    <xf numFmtId="0" fontId="26" fillId="5" borderId="5" xfId="6" applyFont="1" applyFill="1" applyBorder="1"/>
    <xf numFmtId="0" fontId="26" fillId="0" borderId="17" xfId="6" applyFont="1" applyBorder="1"/>
    <xf numFmtId="165" fontId="26" fillId="0" borderId="7" xfId="4" applyNumberFormat="1" applyFont="1" applyBorder="1"/>
    <xf numFmtId="0" fontId="36" fillId="0" borderId="17" xfId="6" applyFont="1" applyBorder="1"/>
    <xf numFmtId="0" fontId="26" fillId="0" borderId="7" xfId="6" applyFont="1" applyBorder="1"/>
    <xf numFmtId="0" fontId="26" fillId="0" borderId="56" xfId="6" applyFont="1" applyBorder="1" applyAlignment="1">
      <alignment horizontal="center"/>
    </xf>
    <xf numFmtId="0" fontId="36" fillId="0" borderId="57" xfId="6" applyFont="1" applyBorder="1" applyAlignment="1">
      <alignment horizontal="center"/>
    </xf>
    <xf numFmtId="0" fontId="26" fillId="0" borderId="57" xfId="6" applyFont="1" applyBorder="1" applyAlignment="1">
      <alignment horizontal="center"/>
    </xf>
    <xf numFmtId="0" fontId="26" fillId="0" borderId="58" xfId="6" applyFont="1" applyBorder="1" applyAlignment="1">
      <alignment horizontal="center"/>
    </xf>
    <xf numFmtId="0" fontId="26" fillId="0" borderId="59" xfId="6" applyFont="1" applyBorder="1"/>
    <xf numFmtId="0" fontId="26" fillId="0" borderId="50" xfId="6" applyFont="1" applyBorder="1"/>
    <xf numFmtId="3" fontId="26" fillId="0" borderId="50" xfId="6" applyNumberFormat="1" applyFont="1" applyBorder="1"/>
    <xf numFmtId="3" fontId="26" fillId="0" borderId="51" xfId="6" applyNumberFormat="1" applyFont="1" applyBorder="1"/>
    <xf numFmtId="165" fontId="37" fillId="0" borderId="51" xfId="6" applyNumberFormat="1" applyFont="1" applyBorder="1" applyAlignment="1">
      <alignment horizontal="center"/>
    </xf>
    <xf numFmtId="165" fontId="26" fillId="0" borderId="50" xfId="4" applyNumberFormat="1" applyFont="1" applyBorder="1"/>
    <xf numFmtId="165" fontId="26" fillId="0" borderId="51" xfId="4" applyNumberFormat="1" applyFont="1" applyBorder="1"/>
    <xf numFmtId="0" fontId="26" fillId="0" borderId="47" xfId="6" applyFont="1" applyBorder="1"/>
    <xf numFmtId="0" fontId="26" fillId="0" borderId="48" xfId="6" applyFont="1" applyBorder="1"/>
    <xf numFmtId="165" fontId="26" fillId="0" borderId="48" xfId="4" applyNumberFormat="1" applyFont="1" applyBorder="1"/>
    <xf numFmtId="3" fontId="26" fillId="0" borderId="48" xfId="6" applyNumberFormat="1" applyFont="1" applyBorder="1"/>
    <xf numFmtId="3" fontId="26" fillId="0" borderId="49" xfId="6" applyNumberFormat="1" applyFont="1" applyBorder="1"/>
    <xf numFmtId="165" fontId="26" fillId="0" borderId="49" xfId="4" applyNumberFormat="1" applyFont="1" applyBorder="1"/>
    <xf numFmtId="164" fontId="23" fillId="0" borderId="0" xfId="0" quotePrefix="1" applyNumberFormat="1" applyFont="1" applyProtection="1"/>
    <xf numFmtId="164" fontId="4" fillId="0" borderId="0" xfId="0" applyNumberFormat="1" applyFont="1" applyAlignment="1" applyProtection="1">
      <alignment horizontal="centerContinuous"/>
    </xf>
    <xf numFmtId="0" fontId="32" fillId="0" borderId="0" xfId="0" quotePrefix="1" applyFont="1" applyBorder="1" applyAlignment="1">
      <alignment horizontal="center"/>
    </xf>
    <xf numFmtId="0" fontId="8" fillId="0" borderId="0" xfId="0" quotePrefix="1" applyFont="1" applyBorder="1" applyAlignment="1">
      <alignment horizontal="center"/>
    </xf>
    <xf numFmtId="0" fontId="8" fillId="0" borderId="0" xfId="0" quotePrefix="1" applyFont="1" applyBorder="1" applyAlignment="1">
      <alignment horizontal="centerContinuous"/>
    </xf>
    <xf numFmtId="0" fontId="32" fillId="0" borderId="0" xfId="0" quotePrefix="1" applyFont="1" applyBorder="1" applyAlignment="1">
      <alignment horizontal="centerContinuous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 applyProtection="1">
      <alignment horizontal="center" vertical="top"/>
    </xf>
    <xf numFmtId="164" fontId="5" fillId="0" borderId="0" xfId="0" quotePrefix="1" applyNumberFormat="1" applyFont="1" applyAlignment="1" applyProtection="1">
      <alignment horizontal="left" vertical="top"/>
    </xf>
    <xf numFmtId="0" fontId="29" fillId="0" borderId="0" xfId="0" applyFont="1" applyAlignment="1">
      <alignment horizontal="centerContinuous"/>
    </xf>
    <xf numFmtId="0" fontId="24" fillId="0" borderId="0" xfId="9"/>
    <xf numFmtId="0" fontId="24" fillId="0" borderId="0" xfId="9" quotePrefix="1" applyAlignment="1">
      <alignment horizontal="left"/>
    </xf>
    <xf numFmtId="0" fontId="24" fillId="0" borderId="14" xfId="9" applyBorder="1"/>
    <xf numFmtId="0" fontId="4" fillId="0" borderId="0" xfId="9" applyFont="1"/>
    <xf numFmtId="9" fontId="24" fillId="2" borderId="0" xfId="9" applyNumberFormat="1" applyFill="1"/>
    <xf numFmtId="0" fontId="24" fillId="0" borderId="13" xfId="9" applyBorder="1"/>
    <xf numFmtId="0" fontId="24" fillId="0" borderId="16" xfId="9" applyBorder="1"/>
    <xf numFmtId="0" fontId="24" fillId="0" borderId="0" xfId="9" applyBorder="1"/>
    <xf numFmtId="3" fontId="24" fillId="0" borderId="50" xfId="9" applyNumberFormat="1" applyBorder="1"/>
    <xf numFmtId="3" fontId="24" fillId="0" borderId="51" xfId="9" applyNumberFormat="1" applyBorder="1"/>
    <xf numFmtId="0" fontId="18" fillId="0" borderId="0" xfId="9" applyFont="1" applyAlignment="1">
      <alignment horizontal="center"/>
    </xf>
    <xf numFmtId="0" fontId="5" fillId="0" borderId="61" xfId="9" applyFont="1" applyBorder="1"/>
    <xf numFmtId="0" fontId="5" fillId="0" borderId="62" xfId="9" applyFont="1" applyBorder="1"/>
    <xf numFmtId="3" fontId="5" fillId="0" borderId="63" xfId="9" applyNumberFormat="1" applyFont="1" applyBorder="1"/>
    <xf numFmtId="3" fontId="5" fillId="0" borderId="64" xfId="9" applyNumberFormat="1" applyFont="1" applyBorder="1"/>
    <xf numFmtId="3" fontId="5" fillId="0" borderId="65" xfId="9" applyNumberFormat="1" applyFont="1" applyBorder="1"/>
    <xf numFmtId="3" fontId="5" fillId="0" borderId="61" xfId="9" applyNumberFormat="1" applyFont="1" applyBorder="1"/>
    <xf numFmtId="3" fontId="5" fillId="0" borderId="66" xfId="9" applyNumberFormat="1" applyFont="1" applyBorder="1"/>
    <xf numFmtId="9" fontId="24" fillId="2" borderId="0" xfId="9" applyNumberFormat="1" applyFill="1" applyBorder="1"/>
    <xf numFmtId="0" fontId="24" fillId="0" borderId="16" xfId="9" quotePrefix="1" applyBorder="1" applyAlignment="1">
      <alignment horizontal="left"/>
    </xf>
    <xf numFmtId="3" fontId="24" fillId="2" borderId="59" xfId="9" applyNumberFormat="1" applyFill="1" applyBorder="1"/>
    <xf numFmtId="0" fontId="24" fillId="0" borderId="17" xfId="9" applyBorder="1"/>
    <xf numFmtId="0" fontId="24" fillId="0" borderId="25" xfId="9" applyBorder="1"/>
    <xf numFmtId="3" fontId="24" fillId="0" borderId="47" xfId="9" applyNumberFormat="1" applyBorder="1"/>
    <xf numFmtId="3" fontId="24" fillId="0" borderId="48" xfId="9" applyNumberFormat="1" applyBorder="1"/>
    <xf numFmtId="3" fontId="24" fillId="0" borderId="49" xfId="9" applyNumberFormat="1" applyBorder="1"/>
    <xf numFmtId="0" fontId="24" fillId="0" borderId="0" xfId="9" quotePrefix="1" applyAlignment="1">
      <alignment horizontal="fill"/>
    </xf>
    <xf numFmtId="0" fontId="24" fillId="0" borderId="0" xfId="9" applyAlignment="1">
      <alignment horizontal="center"/>
    </xf>
    <xf numFmtId="0" fontId="4" fillId="0" borderId="0" xfId="9" quotePrefix="1" applyFont="1" applyAlignment="1">
      <alignment horizontal="left"/>
    </xf>
    <xf numFmtId="0" fontId="24" fillId="0" borderId="0" xfId="9" applyAlignment="1">
      <alignment horizontal="centerContinuous"/>
    </xf>
    <xf numFmtId="0" fontId="24" fillId="0" borderId="0" xfId="9" applyAlignment="1">
      <alignment horizontal="left"/>
    </xf>
    <xf numFmtId="2" fontId="24" fillId="0" borderId="0" xfId="9" applyNumberFormat="1"/>
    <xf numFmtId="0" fontId="5" fillId="0" borderId="0" xfId="9" quotePrefix="1" applyFont="1" applyAlignment="1">
      <alignment horizontal="left"/>
    </xf>
    <xf numFmtId="0" fontId="24" fillId="0" borderId="0" xfId="9" quotePrefix="1" applyAlignment="1">
      <alignment horizontal="centerContinuous"/>
    </xf>
    <xf numFmtId="172" fontId="24" fillId="0" borderId="0" xfId="9" applyNumberFormat="1"/>
    <xf numFmtId="0" fontId="16" fillId="0" borderId="0" xfId="9" applyFont="1"/>
    <xf numFmtId="0" fontId="3" fillId="0" borderId="0" xfId="9" applyFont="1"/>
    <xf numFmtId="0" fontId="24" fillId="0" borderId="0" xfId="9" applyFont="1"/>
    <xf numFmtId="0" fontId="24" fillId="0" borderId="0" xfId="9" applyFont="1" applyAlignment="1">
      <alignment horizontal="centerContinuous"/>
    </xf>
    <xf numFmtId="0" fontId="40" fillId="0" borderId="0" xfId="9" quotePrefix="1" applyFont="1"/>
    <xf numFmtId="0" fontId="40" fillId="0" borderId="0" xfId="9" applyFont="1" applyAlignment="1">
      <alignment horizontal="right"/>
    </xf>
    <xf numFmtId="0" fontId="18" fillId="0" borderId="0" xfId="9" applyFont="1" applyAlignment="1">
      <alignment horizontal="centerContinuous"/>
    </xf>
    <xf numFmtId="0" fontId="26" fillId="0" borderId="0" xfId="9" applyFont="1"/>
    <xf numFmtId="0" fontId="24" fillId="0" borderId="0" xfId="9" quotePrefix="1" applyFont="1" applyAlignment="1">
      <alignment horizontal="left"/>
    </xf>
    <xf numFmtId="0" fontId="24" fillId="0" borderId="0" xfId="9" applyFont="1" applyAlignment="1">
      <alignment horizontal="left"/>
    </xf>
    <xf numFmtId="0" fontId="40" fillId="0" borderId="0" xfId="9" applyFont="1"/>
    <xf numFmtId="0" fontId="40" fillId="0" borderId="0" xfId="9" applyFont="1" applyAlignment="1">
      <alignment horizontal="center"/>
    </xf>
    <xf numFmtId="0" fontId="9" fillId="0" borderId="0" xfId="0" applyFont="1"/>
    <xf numFmtId="0" fontId="40" fillId="0" borderId="0" xfId="9" quotePrefix="1" applyFont="1" applyAlignment="1">
      <alignment horizontal="center"/>
    </xf>
    <xf numFmtId="0" fontId="40" fillId="0" borderId="25" xfId="9" applyFont="1" applyBorder="1"/>
    <xf numFmtId="0" fontId="40" fillId="0" borderId="25" xfId="9" applyFont="1" applyBorder="1" applyAlignment="1">
      <alignment horizontal="center"/>
    </xf>
    <xf numFmtId="3" fontId="40" fillId="0" borderId="25" xfId="9" applyNumberFormat="1" applyFont="1" applyBorder="1"/>
    <xf numFmtId="175" fontId="40" fillId="0" borderId="25" xfId="9" applyNumberFormat="1" applyFont="1" applyBorder="1"/>
    <xf numFmtId="9" fontId="40" fillId="0" borderId="0" xfId="9" applyNumberFormat="1" applyFont="1"/>
    <xf numFmtId="165" fontId="40" fillId="0" borderId="0" xfId="9" applyNumberFormat="1" applyFont="1"/>
    <xf numFmtId="3" fontId="40" fillId="0" borderId="0" xfId="9" applyNumberFormat="1" applyFont="1"/>
    <xf numFmtId="0" fontId="40" fillId="0" borderId="0" xfId="9" quotePrefix="1" applyFont="1" applyAlignment="1">
      <alignment horizontal="left"/>
    </xf>
    <xf numFmtId="0" fontId="42" fillId="0" borderId="0" xfId="9" quotePrefix="1" applyFont="1" applyAlignment="1">
      <alignment horizontal="center"/>
    </xf>
    <xf numFmtId="165" fontId="40" fillId="0" borderId="0" xfId="4" applyNumberFormat="1" applyFont="1" applyAlignment="1">
      <alignment horizontal="left"/>
    </xf>
    <xf numFmtId="0" fontId="9" fillId="0" borderId="0" xfId="0" applyFont="1" applyAlignment="1">
      <alignment vertical="top"/>
    </xf>
    <xf numFmtId="0" fontId="26" fillId="2" borderId="0" xfId="9" applyNumberFormat="1" applyFont="1" applyFill="1" applyBorder="1"/>
    <xf numFmtId="0" fontId="18" fillId="0" borderId="0" xfId="9" applyFont="1" applyAlignment="1">
      <alignment horizontal="right"/>
    </xf>
    <xf numFmtId="10" fontId="24" fillId="0" borderId="0" xfId="4" applyNumberFormat="1" applyFont="1"/>
    <xf numFmtId="0" fontId="6" fillId="0" borderId="0" xfId="0" applyFont="1"/>
    <xf numFmtId="0" fontId="11" fillId="0" borderId="0" xfId="0" applyFont="1" applyAlignment="1">
      <alignment horizontal="center"/>
    </xf>
    <xf numFmtId="164" fontId="3" fillId="0" borderId="0" xfId="7" applyNumberFormat="1" applyFont="1" applyProtection="1"/>
    <xf numFmtId="0" fontId="24" fillId="0" borderId="0" xfId="7"/>
    <xf numFmtId="0" fontId="3" fillId="0" borderId="0" xfId="7" applyFont="1"/>
    <xf numFmtId="164" fontId="3" fillId="0" borderId="0" xfId="7" quotePrefix="1" applyNumberFormat="1" applyFont="1" applyAlignment="1" applyProtection="1">
      <alignment horizontal="left"/>
    </xf>
    <xf numFmtId="0" fontId="3" fillId="0" borderId="0" xfId="7" applyFont="1" applyAlignment="1">
      <alignment horizontal="left"/>
    </xf>
    <xf numFmtId="164" fontId="3" fillId="0" borderId="0" xfId="7" applyNumberFormat="1" applyFont="1" applyAlignment="1" applyProtection="1">
      <alignment horizontal="centerContinuous"/>
    </xf>
    <xf numFmtId="0" fontId="27" fillId="0" borderId="0" xfId="7" applyFont="1"/>
    <xf numFmtId="164" fontId="3" fillId="0" borderId="0" xfId="7" applyNumberFormat="1" applyFont="1" applyAlignment="1" applyProtection="1">
      <alignment horizontal="left"/>
    </xf>
    <xf numFmtId="1" fontId="3" fillId="0" borderId="0" xfId="7" applyNumberFormat="1" applyFont="1" applyAlignment="1" applyProtection="1">
      <alignment horizontal="right"/>
    </xf>
    <xf numFmtId="164" fontId="10" fillId="0" borderId="0" xfId="7" applyNumberFormat="1" applyFont="1" applyAlignment="1" applyProtection="1">
      <alignment horizontal="left"/>
    </xf>
    <xf numFmtId="164" fontId="3" fillId="0" borderId="0" xfId="7" applyNumberFormat="1" applyFont="1" applyAlignment="1" applyProtection="1">
      <alignment horizontal="center"/>
    </xf>
    <xf numFmtId="0" fontId="24" fillId="0" borderId="0" xfId="7" applyAlignment="1">
      <alignment horizontal="centerContinuous"/>
    </xf>
    <xf numFmtId="0" fontId="24" fillId="0" borderId="0" xfId="7" quotePrefix="1" applyAlignment="1">
      <alignment horizontal="center"/>
    </xf>
    <xf numFmtId="166" fontId="3" fillId="0" borderId="0" xfId="7" applyNumberFormat="1" applyFont="1" applyAlignment="1" applyProtection="1">
      <alignment horizontal="centerContinuous"/>
    </xf>
    <xf numFmtId="164" fontId="3" fillId="0" borderId="0" xfId="7" quotePrefix="1" applyNumberFormat="1" applyFont="1" applyAlignment="1" applyProtection="1">
      <alignment horizontal="right"/>
    </xf>
    <xf numFmtId="167" fontId="3" fillId="0" borderId="0" xfId="7" applyNumberFormat="1" applyFont="1" applyAlignment="1" applyProtection="1">
      <alignment horizontal="right"/>
    </xf>
    <xf numFmtId="169" fontId="3" fillId="0" borderId="0" xfId="7" applyNumberFormat="1" applyFont="1" applyAlignment="1" applyProtection="1">
      <alignment horizontal="centerContinuous"/>
    </xf>
    <xf numFmtId="164" fontId="3" fillId="0" borderId="0" xfId="7" applyNumberFormat="1" applyFont="1" applyAlignment="1" applyProtection="1"/>
    <xf numFmtId="164" fontId="3" fillId="0" borderId="0" xfId="7" quotePrefix="1" applyNumberFormat="1" applyFont="1" applyAlignment="1" applyProtection="1"/>
    <xf numFmtId="167" fontId="3" fillId="0" borderId="0" xfId="7" applyNumberFormat="1" applyFont="1" applyAlignment="1" applyProtection="1">
      <alignment horizontal="left"/>
    </xf>
    <xf numFmtId="167" fontId="3" fillId="0" borderId="0" xfId="7" applyNumberFormat="1" applyFont="1" applyProtection="1"/>
    <xf numFmtId="0" fontId="3" fillId="0" borderId="0" xfId="7" quotePrefix="1" applyFont="1" applyAlignment="1">
      <alignment horizontal="left"/>
    </xf>
    <xf numFmtId="1" fontId="3" fillId="0" borderId="0" xfId="7" quotePrefix="1" applyNumberFormat="1" applyFont="1" applyAlignment="1" applyProtection="1">
      <alignment horizontal="left"/>
    </xf>
    <xf numFmtId="1" fontId="3" fillId="0" borderId="0" xfId="7" applyNumberFormat="1" applyFont="1"/>
    <xf numFmtId="1" fontId="3" fillId="0" borderId="0" xfId="7" quotePrefix="1" applyNumberFormat="1" applyFont="1" applyAlignment="1">
      <alignment horizontal="left"/>
    </xf>
    <xf numFmtId="1" fontId="3" fillId="0" borderId="0" xfId="7" applyNumberFormat="1" applyFont="1" applyAlignment="1" applyProtection="1">
      <alignment horizontal="centerContinuous"/>
    </xf>
    <xf numFmtId="2" fontId="3" fillId="0" borderId="0" xfId="7" applyNumberFormat="1" applyFont="1" applyAlignment="1" applyProtection="1">
      <alignment horizontal="centerContinuous"/>
    </xf>
    <xf numFmtId="164" fontId="3" fillId="0" borderId="0" xfId="7" quotePrefix="1" applyNumberFormat="1" applyFont="1" applyAlignment="1" applyProtection="1">
      <alignment horizontal="center"/>
    </xf>
    <xf numFmtId="0" fontId="24" fillId="0" borderId="0" xfId="7" applyAlignment="1">
      <alignment horizontal="left"/>
    </xf>
    <xf numFmtId="169" fontId="3" fillId="0" borderId="0" xfId="7" applyNumberFormat="1" applyFont="1"/>
    <xf numFmtId="0" fontId="16" fillId="0" borderId="0" xfId="7" applyFont="1"/>
    <xf numFmtId="164" fontId="23" fillId="0" borderId="29" xfId="0" applyNumberFormat="1" applyFont="1" applyFill="1" applyBorder="1" applyAlignment="1" applyProtection="1">
      <alignment horizontal="centerContinuous"/>
    </xf>
    <xf numFmtId="164" fontId="23" fillId="0" borderId="31" xfId="0" applyNumberFormat="1" applyFont="1" applyFill="1" applyBorder="1" applyAlignment="1" applyProtection="1">
      <alignment horizontal="centerContinuous"/>
    </xf>
    <xf numFmtId="164" fontId="23" fillId="0" borderId="0" xfId="0" applyNumberFormat="1" applyFont="1" applyFill="1" applyBorder="1" applyProtection="1"/>
    <xf numFmtId="164" fontId="8" fillId="0" borderId="0" xfId="0" applyNumberFormat="1" applyFont="1" applyFill="1" applyBorder="1" applyProtection="1"/>
    <xf numFmtId="0" fontId="3" fillId="0" borderId="0" xfId="0" quotePrefix="1" applyFont="1"/>
    <xf numFmtId="164" fontId="23" fillId="0" borderId="0" xfId="0" applyNumberFormat="1" applyFont="1" applyBorder="1" applyAlignment="1" applyProtection="1">
      <alignment horizontal="center"/>
    </xf>
    <xf numFmtId="0" fontId="23" fillId="0" borderId="0" xfId="0" applyNumberFormat="1" applyFont="1" applyProtection="1"/>
    <xf numFmtId="0" fontId="23" fillId="0" borderId="0" xfId="0" applyNumberFormat="1" applyFont="1"/>
    <xf numFmtId="177" fontId="23" fillId="0" borderId="0" xfId="0" applyNumberFormat="1" applyFont="1" applyAlignment="1" applyProtection="1"/>
    <xf numFmtId="164" fontId="5" fillId="0" borderId="0" xfId="0" applyNumberFormat="1" applyFont="1" applyFill="1" applyBorder="1" applyAlignment="1" applyProtection="1">
      <alignment horizontal="left"/>
    </xf>
    <xf numFmtId="164" fontId="5" fillId="0" borderId="0" xfId="0" applyNumberFormat="1" applyFont="1" applyFill="1" applyBorder="1" applyProtection="1"/>
    <xf numFmtId="164" fontId="5" fillId="0" borderId="0" xfId="0" quotePrefix="1" applyNumberFormat="1" applyFont="1" applyFill="1" applyBorder="1" applyAlignment="1" applyProtection="1">
      <alignment horizontal="left"/>
    </xf>
    <xf numFmtId="164" fontId="15" fillId="0" borderId="0" xfId="13" quotePrefix="1" applyNumberFormat="1" applyFont="1" applyProtection="1">
      <alignment horizontal="left" vertical="top"/>
    </xf>
    <xf numFmtId="164" fontId="7" fillId="0" borderId="0" xfId="11" quotePrefix="1" applyNumberFormat="1" applyFont="1" applyProtection="1">
      <alignment vertical="top"/>
    </xf>
    <xf numFmtId="3" fontId="3" fillId="0" borderId="0" xfId="7" applyNumberFormat="1" applyFont="1" applyAlignment="1" applyProtection="1">
      <alignment horizontal="right"/>
    </xf>
    <xf numFmtId="0" fontId="3" fillId="0" borderId="0" xfId="7" applyFont="1" applyAlignment="1">
      <alignment horizontal="right"/>
    </xf>
    <xf numFmtId="164" fontId="3" fillId="0" borderId="0" xfId="7" applyNumberFormat="1" applyFont="1" applyAlignment="1" applyProtection="1">
      <alignment horizontal="right"/>
    </xf>
    <xf numFmtId="0" fontId="24" fillId="0" borderId="0" xfId="7" applyFont="1" applyAlignment="1">
      <alignment horizontal="centerContinuous"/>
    </xf>
    <xf numFmtId="3" fontId="3" fillId="0" borderId="0" xfId="7" applyNumberFormat="1" applyFont="1" applyAlignment="1" applyProtection="1">
      <alignment horizontal="center"/>
    </xf>
    <xf numFmtId="3" fontId="3" fillId="0" borderId="0" xfId="7" applyNumberFormat="1" applyFont="1" applyBorder="1" applyAlignment="1" applyProtection="1">
      <alignment horizontal="centerContinuous"/>
    </xf>
    <xf numFmtId="0" fontId="24" fillId="0" borderId="0" xfId="7" applyFont="1"/>
    <xf numFmtId="178" fontId="3" fillId="0" borderId="0" xfId="7" quotePrefix="1" applyNumberFormat="1" applyFont="1" applyAlignment="1" applyProtection="1">
      <alignment horizontal="right"/>
    </xf>
    <xf numFmtId="179" fontId="3" fillId="0" borderId="0" xfId="7" quotePrefix="1" applyNumberFormat="1" applyFont="1" applyAlignment="1" applyProtection="1">
      <alignment horizontal="left"/>
    </xf>
    <xf numFmtId="164" fontId="3" fillId="2" borderId="0" xfId="7" quotePrefix="1" applyNumberFormat="1" applyFont="1" applyFill="1" applyAlignment="1" applyProtection="1">
      <alignment horizontal="left"/>
    </xf>
    <xf numFmtId="1" fontId="3" fillId="2" borderId="0" xfId="7" applyNumberFormat="1" applyFont="1" applyFill="1" applyAlignment="1" applyProtection="1">
      <alignment horizontal="right"/>
    </xf>
    <xf numFmtId="3" fontId="3" fillId="2" borderId="0" xfId="7" applyNumberFormat="1" applyFont="1" applyFill="1" applyAlignment="1" applyProtection="1">
      <alignment horizontal="right"/>
    </xf>
    <xf numFmtId="4" fontId="3" fillId="2" borderId="0" xfId="7" applyNumberFormat="1" applyFont="1" applyFill="1" applyAlignment="1" applyProtection="1">
      <alignment horizontal="right"/>
    </xf>
    <xf numFmtId="169" fontId="3" fillId="2" borderId="0" xfId="7" applyNumberFormat="1" applyFont="1" applyFill="1" applyAlignment="1" applyProtection="1">
      <alignment horizontal="right"/>
    </xf>
    <xf numFmtId="1" fontId="3" fillId="2" borderId="0" xfId="7" applyNumberFormat="1" applyFont="1" applyFill="1" applyProtection="1"/>
    <xf numFmtId="0" fontId="28" fillId="0" borderId="0" xfId="7" applyFont="1" applyFill="1"/>
    <xf numFmtId="164" fontId="21" fillId="0" borderId="0" xfId="1" applyFill="1"/>
    <xf numFmtId="164" fontId="17" fillId="0" borderId="0" xfId="7" quotePrefix="1" applyNumberFormat="1" applyFont="1" applyFill="1" applyAlignment="1" applyProtection="1">
      <alignment horizontal="left" vertical="top"/>
    </xf>
    <xf numFmtId="164" fontId="3" fillId="0" borderId="0" xfId="7" applyNumberFormat="1" applyFont="1" applyFill="1" applyProtection="1"/>
    <xf numFmtId="0" fontId="24" fillId="0" borderId="0" xfId="7" applyFill="1"/>
    <xf numFmtId="0" fontId="3" fillId="0" borderId="0" xfId="7" applyFont="1" applyFill="1"/>
    <xf numFmtId="164" fontId="4" fillId="0" borderId="30" xfId="7" applyNumberFormat="1" applyFont="1" applyFill="1" applyBorder="1" applyAlignment="1" applyProtection="1">
      <alignment horizontal="centerContinuous"/>
    </xf>
    <xf numFmtId="164" fontId="3" fillId="0" borderId="29" xfId="7" applyNumberFormat="1" applyFont="1" applyFill="1" applyBorder="1" applyAlignment="1" applyProtection="1">
      <alignment horizontal="centerContinuous"/>
    </xf>
    <xf numFmtId="164" fontId="4" fillId="0" borderId="29" xfId="7" applyNumberFormat="1" applyFont="1" applyFill="1" applyBorder="1" applyAlignment="1" applyProtection="1">
      <alignment horizontal="centerContinuous"/>
    </xf>
    <xf numFmtId="164" fontId="3" fillId="0" borderId="31" xfId="7" applyNumberFormat="1" applyFont="1" applyFill="1" applyBorder="1" applyAlignment="1" applyProtection="1">
      <alignment horizontal="centerContinuous"/>
    </xf>
    <xf numFmtId="164" fontId="3" fillId="0" borderId="12" xfId="7" applyNumberFormat="1" applyFont="1" applyFill="1" applyBorder="1" applyAlignment="1" applyProtection="1">
      <alignment horizontal="center"/>
    </xf>
    <xf numFmtId="164" fontId="3" fillId="0" borderId="9" xfId="7" quotePrefix="1" applyNumberFormat="1" applyFont="1" applyFill="1" applyBorder="1" applyAlignment="1" applyProtection="1">
      <alignment horizontal="left"/>
    </xf>
    <xf numFmtId="164" fontId="3" fillId="0" borderId="9" xfId="7" applyNumberFormat="1" applyFont="1" applyFill="1" applyBorder="1" applyProtection="1"/>
    <xf numFmtId="164" fontId="3" fillId="0" borderId="8" xfId="7" applyNumberFormat="1" applyFont="1" applyFill="1" applyBorder="1" applyProtection="1"/>
    <xf numFmtId="164" fontId="3" fillId="0" borderId="3" xfId="7" applyNumberFormat="1" applyFont="1" applyFill="1" applyBorder="1" applyProtection="1"/>
    <xf numFmtId="164" fontId="18" fillId="0" borderId="0" xfId="7" applyNumberFormat="1" applyFont="1" applyFill="1" applyAlignment="1" applyProtection="1">
      <alignment horizontal="left"/>
    </xf>
    <xf numFmtId="164" fontId="8" fillId="0" borderId="0" xfId="7" applyNumberFormat="1" applyFont="1" applyFill="1" applyAlignment="1" applyProtection="1">
      <alignment horizontal="left"/>
    </xf>
    <xf numFmtId="164" fontId="3" fillId="0" borderId="4" xfId="7" applyNumberFormat="1" applyFont="1" applyFill="1" applyBorder="1" applyProtection="1"/>
    <xf numFmtId="164" fontId="3" fillId="0" borderId="6" xfId="7" applyNumberFormat="1" applyFont="1" applyFill="1" applyBorder="1" applyProtection="1"/>
    <xf numFmtId="164" fontId="3" fillId="0" borderId="1" xfId="7" applyNumberFormat="1" applyFont="1" applyFill="1" applyBorder="1" applyProtection="1"/>
    <xf numFmtId="164" fontId="18" fillId="0" borderId="25" xfId="7" applyNumberFormat="1" applyFont="1" applyFill="1" applyBorder="1" applyAlignment="1" applyProtection="1">
      <alignment horizontal="left"/>
    </xf>
    <xf numFmtId="164" fontId="8" fillId="0" borderId="1" xfId="7" applyNumberFormat="1" applyFont="1" applyFill="1" applyBorder="1" applyAlignment="1" applyProtection="1">
      <alignment horizontal="left"/>
    </xf>
    <xf numFmtId="164" fontId="3" fillId="0" borderId="2" xfId="7" applyNumberFormat="1" applyFont="1" applyFill="1" applyBorder="1" applyProtection="1"/>
    <xf numFmtId="164" fontId="3" fillId="0" borderId="3" xfId="7" applyNumberFormat="1" applyFont="1" applyFill="1" applyBorder="1" applyAlignment="1" applyProtection="1">
      <alignment horizontal="center"/>
    </xf>
    <xf numFmtId="164" fontId="3" fillId="0" borderId="0" xfId="7" quotePrefix="1" applyNumberFormat="1" applyFont="1" applyFill="1" applyAlignment="1" applyProtection="1">
      <alignment horizontal="left"/>
    </xf>
    <xf numFmtId="164" fontId="3" fillId="0" borderId="67" xfId="7" applyNumberFormat="1" applyFont="1" applyFill="1" applyBorder="1" applyProtection="1"/>
    <xf numFmtId="164" fontId="3" fillId="0" borderId="25" xfId="7" applyNumberFormat="1" applyFont="1" applyFill="1" applyBorder="1" applyProtection="1"/>
    <xf numFmtId="164" fontId="8" fillId="0" borderId="25" xfId="7" applyNumberFormat="1" applyFont="1" applyFill="1" applyBorder="1" applyAlignment="1" applyProtection="1">
      <alignment horizontal="left"/>
    </xf>
    <xf numFmtId="164" fontId="3" fillId="0" borderId="68" xfId="7" applyNumberFormat="1" applyFont="1" applyFill="1" applyBorder="1" applyProtection="1"/>
    <xf numFmtId="164" fontId="3" fillId="0" borderId="6" xfId="7" applyNumberFormat="1" applyFont="1" applyFill="1" applyBorder="1" applyAlignment="1" applyProtection="1">
      <alignment horizontal="center"/>
    </xf>
    <xf numFmtId="164" fontId="4" fillId="0" borderId="1" xfId="7" applyNumberFormat="1" applyFont="1" applyFill="1" applyBorder="1" applyAlignment="1" applyProtection="1">
      <alignment horizontal="left"/>
    </xf>
    <xf numFmtId="164" fontId="4" fillId="0" borderId="28" xfId="7" applyNumberFormat="1" applyFont="1" applyFill="1" applyBorder="1" applyAlignment="1" applyProtection="1">
      <alignment horizontal="centerContinuous"/>
    </xf>
    <xf numFmtId="164" fontId="3" fillId="0" borderId="27" xfId="7" applyNumberFormat="1" applyFont="1" applyFill="1" applyBorder="1" applyAlignment="1" applyProtection="1">
      <alignment horizontal="centerContinuous"/>
    </xf>
    <xf numFmtId="164" fontId="3" fillId="0" borderId="10" xfId="7" applyNumberFormat="1" applyFont="1" applyFill="1" applyBorder="1" applyAlignment="1" applyProtection="1">
      <alignment horizontal="centerContinuous"/>
    </xf>
    <xf numFmtId="164" fontId="4" fillId="0" borderId="17" xfId="7" applyNumberFormat="1" applyFont="1" applyFill="1" applyBorder="1" applyAlignment="1" applyProtection="1">
      <alignment horizontal="centerContinuous"/>
    </xf>
    <xf numFmtId="164" fontId="3" fillId="0" borderId="25" xfId="7" applyNumberFormat="1" applyFont="1" applyFill="1" applyBorder="1" applyAlignment="1" applyProtection="1">
      <alignment horizontal="centerContinuous"/>
    </xf>
    <xf numFmtId="164" fontId="3" fillId="0" borderId="7" xfId="7" applyNumberFormat="1" applyFont="1" applyFill="1" applyBorder="1" applyAlignment="1" applyProtection="1">
      <alignment horizontal="centerContinuous"/>
    </xf>
    <xf numFmtId="164" fontId="3" fillId="0" borderId="28" xfId="7" applyNumberFormat="1" applyFont="1" applyFill="1" applyBorder="1" applyAlignment="1" applyProtection="1"/>
    <xf numFmtId="164" fontId="25" fillId="0" borderId="0" xfId="7" applyNumberFormat="1" applyFont="1" applyFill="1" applyBorder="1" applyAlignment="1" applyProtection="1">
      <alignment horizontal="left"/>
    </xf>
    <xf numFmtId="164" fontId="3" fillId="0" borderId="27" xfId="7" applyNumberFormat="1" applyFont="1" applyFill="1" applyBorder="1" applyAlignment="1" applyProtection="1"/>
    <xf numFmtId="164" fontId="3" fillId="0" borderId="10" xfId="7" applyNumberFormat="1" applyFont="1" applyFill="1" applyBorder="1" applyAlignment="1" applyProtection="1"/>
    <xf numFmtId="164" fontId="3" fillId="0" borderId="16" xfId="7" applyNumberFormat="1" applyFont="1" applyFill="1" applyBorder="1" applyAlignment="1" applyProtection="1"/>
    <xf numFmtId="164" fontId="3" fillId="0" borderId="0" xfId="7" applyNumberFormat="1" applyFont="1" applyFill="1" applyBorder="1" applyAlignment="1" applyProtection="1">
      <alignment horizontal="left"/>
    </xf>
    <xf numFmtId="164" fontId="3" fillId="0" borderId="0" xfId="7" applyNumberFormat="1" applyFont="1" applyFill="1" applyBorder="1" applyAlignment="1" applyProtection="1"/>
    <xf numFmtId="164" fontId="3" fillId="0" borderId="5" xfId="7" applyNumberFormat="1" applyFont="1" applyFill="1" applyBorder="1" applyAlignment="1" applyProtection="1"/>
    <xf numFmtId="164" fontId="3" fillId="0" borderId="0" xfId="7" quotePrefix="1" applyNumberFormat="1" applyFont="1" applyFill="1" applyBorder="1" applyAlignment="1" applyProtection="1">
      <alignment horizontal="left"/>
    </xf>
    <xf numFmtId="0" fontId="28" fillId="0" borderId="0" xfId="7" applyFont="1" applyFill="1" applyAlignment="1">
      <alignment horizontal="left"/>
    </xf>
    <xf numFmtId="164" fontId="3" fillId="0" borderId="16" xfId="7" applyNumberFormat="1" applyFont="1" applyFill="1" applyBorder="1" applyAlignment="1" applyProtection="1">
      <alignment horizontal="left"/>
    </xf>
    <xf numFmtId="164" fontId="3" fillId="0" borderId="5" xfId="7" applyNumberFormat="1" applyFont="1" applyFill="1" applyBorder="1" applyAlignment="1" applyProtection="1">
      <alignment horizontal="left"/>
    </xf>
    <xf numFmtId="0" fontId="3" fillId="0" borderId="0" xfId="7" applyFont="1" applyFill="1" applyAlignment="1">
      <alignment horizontal="left"/>
    </xf>
    <xf numFmtId="0" fontId="24" fillId="0" borderId="17" xfId="7" applyFill="1" applyBorder="1"/>
    <xf numFmtId="164" fontId="3" fillId="0" borderId="25" xfId="7" applyNumberFormat="1" applyFont="1" applyFill="1" applyBorder="1" applyAlignment="1" applyProtection="1">
      <alignment horizontal="left"/>
    </xf>
    <xf numFmtId="164" fontId="19" fillId="0" borderId="0" xfId="1" applyFont="1" applyFill="1"/>
    <xf numFmtId="164" fontId="3" fillId="0" borderId="12" xfId="7" applyNumberFormat="1" applyFont="1" applyFill="1" applyBorder="1" applyProtection="1"/>
    <xf numFmtId="164" fontId="3" fillId="0" borderId="0" xfId="7" applyNumberFormat="1" applyFont="1" applyFill="1" applyBorder="1" applyProtection="1"/>
    <xf numFmtId="164" fontId="3" fillId="0" borderId="0" xfId="7" applyNumberFormat="1" applyFont="1" applyFill="1" applyAlignment="1" applyProtection="1">
      <alignment horizontal="centerContinuous"/>
    </xf>
    <xf numFmtId="0" fontId="24" fillId="0" borderId="16" xfId="7" applyFill="1" applyBorder="1"/>
    <xf numFmtId="164" fontId="8" fillId="0" borderId="0" xfId="7" applyNumberFormat="1" applyFont="1" applyFill="1" applyBorder="1" applyAlignment="1" applyProtection="1">
      <alignment horizontal="left"/>
    </xf>
    <xf numFmtId="164" fontId="8" fillId="0" borderId="0" xfId="7" applyNumberFormat="1" applyFont="1" applyFill="1" applyProtection="1"/>
    <xf numFmtId="164" fontId="8" fillId="0" borderId="0" xfId="7" applyNumberFormat="1" applyFont="1" applyFill="1" applyAlignment="1" applyProtection="1">
      <alignment horizontal="centerContinuous"/>
    </xf>
    <xf numFmtId="164" fontId="8" fillId="0" borderId="0" xfId="7" quotePrefix="1" applyNumberFormat="1" applyFont="1" applyFill="1" applyAlignment="1" applyProtection="1">
      <alignment horizontal="left"/>
    </xf>
    <xf numFmtId="164" fontId="8" fillId="0" borderId="0" xfId="7" quotePrefix="1" applyNumberFormat="1" applyFont="1" applyFill="1" applyBorder="1" applyAlignment="1" applyProtection="1">
      <alignment horizontal="left"/>
    </xf>
    <xf numFmtId="164" fontId="8" fillId="0" borderId="0" xfId="7" applyNumberFormat="1" applyFont="1" applyFill="1" applyBorder="1" applyProtection="1"/>
    <xf numFmtId="164" fontId="25" fillId="0" borderId="0" xfId="7" quotePrefix="1" applyNumberFormat="1" applyFont="1" applyFill="1" applyBorder="1" applyAlignment="1" applyProtection="1">
      <alignment horizontal="left"/>
    </xf>
    <xf numFmtId="164" fontId="3" fillId="0" borderId="0" xfId="7" quotePrefix="1" applyNumberFormat="1" applyFont="1" applyFill="1" applyBorder="1" applyAlignment="1" applyProtection="1">
      <alignment horizontal="center"/>
    </xf>
    <xf numFmtId="0" fontId="21" fillId="0" borderId="0" xfId="7" applyFont="1" applyFill="1"/>
    <xf numFmtId="0" fontId="24" fillId="0" borderId="0" xfId="7" applyFont="1" applyFill="1" applyAlignment="1">
      <alignment horizontal="right"/>
    </xf>
    <xf numFmtId="9" fontId="23" fillId="0" borderId="0" xfId="4" applyFont="1" applyAlignment="1">
      <alignment horizontal="right"/>
    </xf>
    <xf numFmtId="0" fontId="4" fillId="0" borderId="0" xfId="0" applyFont="1" applyAlignment="1">
      <alignment horizontal="right"/>
    </xf>
    <xf numFmtId="2" fontId="23" fillId="0" borderId="0" xfId="0" applyNumberFormat="1" applyFont="1"/>
    <xf numFmtId="165" fontId="23" fillId="0" borderId="0" xfId="0" applyNumberFormat="1" applyFont="1"/>
    <xf numFmtId="10" fontId="5" fillId="0" borderId="0" xfId="4" applyNumberFormat="1" applyFont="1"/>
    <xf numFmtId="0" fontId="23" fillId="0" borderId="25" xfId="0" applyFont="1" applyBorder="1" applyAlignment="1">
      <alignment horizontal="center"/>
    </xf>
    <xf numFmtId="0" fontId="23" fillId="0" borderId="25" xfId="0" applyFont="1" applyBorder="1" applyAlignment="1">
      <alignment horizontal="left"/>
    </xf>
    <xf numFmtId="0" fontId="23" fillId="0" borderId="27" xfId="0" applyFont="1" applyBorder="1" applyAlignment="1">
      <alignment horizontal="right"/>
    </xf>
    <xf numFmtId="9" fontId="23" fillId="0" borderId="0" xfId="0" applyNumberFormat="1" applyFont="1" applyAlignment="1">
      <alignment horizontal="center"/>
    </xf>
    <xf numFmtId="0" fontId="23" fillId="0" borderId="13" xfId="0" applyFont="1" applyBorder="1"/>
    <xf numFmtId="0" fontId="23" fillId="0" borderId="14" xfId="0" applyFont="1" applyBorder="1"/>
    <xf numFmtId="0" fontId="23" fillId="0" borderId="15" xfId="0" applyFont="1" applyBorder="1"/>
    <xf numFmtId="3" fontId="3" fillId="0" borderId="0" xfId="0" applyNumberFormat="1" applyFont="1"/>
    <xf numFmtId="0" fontId="9" fillId="0" borderId="0" xfId="0" applyFont="1" applyAlignment="1">
      <alignment horizontal="right"/>
    </xf>
    <xf numFmtId="3" fontId="9" fillId="0" borderId="0" xfId="0" applyNumberFormat="1" applyFont="1"/>
    <xf numFmtId="164" fontId="15" fillId="0" borderId="0" xfId="13" quotePrefix="1" applyNumberFormat="1" applyFont="1" applyAlignment="1" applyProtection="1">
      <alignment horizontal="left" vertical="top"/>
    </xf>
    <xf numFmtId="164" fontId="15" fillId="0" borderId="0" xfId="13" applyNumberFormat="1" applyFont="1" applyProtection="1">
      <alignment horizontal="left" vertical="top"/>
    </xf>
    <xf numFmtId="0" fontId="23" fillId="2" borderId="50" xfId="0" applyFont="1" applyFill="1" applyBorder="1" applyAlignment="1">
      <alignment horizontal="center"/>
    </xf>
    <xf numFmtId="9" fontId="23" fillId="2" borderId="51" xfId="4" applyFont="1" applyFill="1" applyBorder="1" applyAlignment="1">
      <alignment horizontal="center"/>
    </xf>
    <xf numFmtId="0" fontId="23" fillId="2" borderId="48" xfId="0" applyFont="1" applyFill="1" applyBorder="1" applyAlignment="1">
      <alignment horizontal="center"/>
    </xf>
    <xf numFmtId="9" fontId="23" fillId="2" borderId="49" xfId="4" applyFont="1" applyFill="1" applyBorder="1" applyAlignment="1">
      <alignment horizontal="center"/>
    </xf>
    <xf numFmtId="0" fontId="23" fillId="0" borderId="57" xfId="0" applyFont="1" applyBorder="1" applyAlignment="1">
      <alignment horizontal="center"/>
    </xf>
    <xf numFmtId="0" fontId="23" fillId="0" borderId="58" xfId="0" applyFont="1" applyBorder="1" applyAlignment="1">
      <alignment horizontal="center"/>
    </xf>
    <xf numFmtId="9" fontId="23" fillId="2" borderId="25" xfId="0" applyNumberFormat="1" applyFont="1" applyFill="1" applyBorder="1" applyAlignment="1">
      <alignment horizontal="center"/>
    </xf>
    <xf numFmtId="0" fontId="23" fillId="0" borderId="56" xfId="0" applyFont="1" applyBorder="1" applyAlignment="1">
      <alignment horizontal="center"/>
    </xf>
    <xf numFmtId="3" fontId="3" fillId="2" borderId="59" xfId="0" applyNumberFormat="1" applyFont="1" applyFill="1" applyBorder="1" applyAlignment="1">
      <alignment horizontal="center"/>
    </xf>
    <xf numFmtId="3" fontId="3" fillId="2" borderId="47" xfId="0" applyNumberFormat="1" applyFont="1" applyFill="1" applyBorder="1" applyAlignment="1">
      <alignment horizontal="center"/>
    </xf>
    <xf numFmtId="9" fontId="23" fillId="2" borderId="14" xfId="0" applyNumberFormat="1" applyFont="1" applyFill="1" applyBorder="1" applyAlignment="1">
      <alignment horizontal="center"/>
    </xf>
    <xf numFmtId="165" fontId="23" fillId="2" borderId="25" xfId="0" applyNumberFormat="1" applyFont="1" applyFill="1" applyBorder="1" applyAlignment="1">
      <alignment horizontal="center"/>
    </xf>
    <xf numFmtId="0" fontId="5" fillId="0" borderId="0" xfId="0" applyNumberFormat="1" applyFont="1"/>
    <xf numFmtId="0" fontId="23" fillId="0" borderId="69" xfId="0" applyFont="1" applyBorder="1"/>
    <xf numFmtId="0" fontId="5" fillId="0" borderId="25" xfId="0" applyFont="1" applyBorder="1"/>
    <xf numFmtId="0" fontId="23" fillId="0" borderId="62" xfId="0" applyFont="1" applyBorder="1"/>
    <xf numFmtId="0" fontId="23" fillId="0" borderId="61" xfId="0" applyFont="1" applyBorder="1"/>
    <xf numFmtId="0" fontId="23" fillId="0" borderId="70" xfId="0" applyFont="1" applyBorder="1"/>
    <xf numFmtId="0" fontId="23" fillId="0" borderId="71" xfId="0" applyFont="1" applyBorder="1"/>
    <xf numFmtId="0" fontId="5" fillId="0" borderId="66" xfId="0" applyFont="1" applyBorder="1"/>
    <xf numFmtId="0" fontId="23" fillId="0" borderId="72" xfId="0" applyFont="1" applyBorder="1"/>
    <xf numFmtId="0" fontId="23" fillId="0" borderId="66" xfId="0" applyFont="1" applyBorder="1"/>
    <xf numFmtId="0" fontId="23" fillId="0" borderId="73" xfId="0" applyFont="1" applyBorder="1"/>
    <xf numFmtId="0" fontId="23" fillId="0" borderId="74" xfId="0" applyFont="1" applyBorder="1"/>
    <xf numFmtId="0" fontId="23" fillId="0" borderId="75" xfId="0" applyFont="1" applyBorder="1"/>
    <xf numFmtId="0" fontId="23" fillId="0" borderId="76" xfId="0" applyFont="1" applyBorder="1"/>
    <xf numFmtId="0" fontId="23" fillId="0" borderId="77" xfId="0" applyFont="1" applyBorder="1"/>
    <xf numFmtId="0" fontId="23" fillId="0" borderId="78" xfId="0" applyFont="1" applyBorder="1"/>
    <xf numFmtId="0" fontId="23" fillId="0" borderId="79" xfId="0" applyFont="1" applyBorder="1"/>
    <xf numFmtId="0" fontId="23" fillId="0" borderId="80" xfId="0" applyFont="1" applyBorder="1"/>
    <xf numFmtId="0" fontId="23" fillId="0" borderId="81" xfId="0" applyFont="1" applyBorder="1"/>
    <xf numFmtId="0" fontId="23" fillId="0" borderId="82" xfId="0" applyFont="1" applyBorder="1"/>
    <xf numFmtId="0" fontId="23" fillId="0" borderId="83" xfId="0" applyFont="1" applyBorder="1"/>
    <xf numFmtId="0" fontId="23" fillId="0" borderId="84" xfId="0" applyFont="1" applyBorder="1"/>
    <xf numFmtId="0" fontId="23" fillId="0" borderId="45" xfId="0" applyFont="1" applyBorder="1"/>
    <xf numFmtId="0" fontId="23" fillId="0" borderId="85" xfId="0" applyFont="1" applyBorder="1"/>
    <xf numFmtId="0" fontId="23" fillId="0" borderId="50" xfId="0" applyFont="1" applyBorder="1"/>
    <xf numFmtId="0" fontId="23" fillId="0" borderId="64" xfId="0" applyFont="1" applyBorder="1"/>
    <xf numFmtId="0" fontId="23" fillId="0" borderId="86" xfId="0" applyFont="1" applyBorder="1"/>
    <xf numFmtId="0" fontId="29" fillId="0" borderId="0" xfId="0" applyFont="1" applyAlignment="1">
      <alignment horizontal="right"/>
    </xf>
    <xf numFmtId="0" fontId="5" fillId="0" borderId="28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87" xfId="0" applyFont="1" applyBorder="1" applyAlignment="1">
      <alignment horizontal="center"/>
    </xf>
    <xf numFmtId="0" fontId="5" fillId="0" borderId="88" xfId="0" applyFont="1" applyBorder="1" applyAlignment="1">
      <alignment horizontal="center"/>
    </xf>
    <xf numFmtId="0" fontId="5" fillId="0" borderId="44" xfId="0" applyFont="1" applyBorder="1"/>
    <xf numFmtId="0" fontId="5" fillId="0" borderId="46" xfId="0" applyFont="1" applyBorder="1"/>
    <xf numFmtId="0" fontId="5" fillId="0" borderId="59" xfId="0" applyFont="1" applyBorder="1"/>
    <xf numFmtId="0" fontId="5" fillId="0" borderId="51" xfId="0" applyFont="1" applyBorder="1"/>
    <xf numFmtId="0" fontId="5" fillId="0" borderId="47" xfId="0" applyFont="1" applyBorder="1"/>
    <xf numFmtId="0" fontId="5" fillId="0" borderId="49" xfId="0" applyFont="1" applyBorder="1"/>
    <xf numFmtId="0" fontId="5" fillId="0" borderId="28" xfId="0" applyFont="1" applyBorder="1"/>
    <xf numFmtId="0" fontId="5" fillId="0" borderId="27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89" xfId="0" applyFont="1" applyBorder="1"/>
    <xf numFmtId="0" fontId="5" fillId="0" borderId="90" xfId="0" applyFont="1" applyBorder="1"/>
    <xf numFmtId="0" fontId="23" fillId="0" borderId="90" xfId="0" applyFont="1" applyBorder="1"/>
    <xf numFmtId="0" fontId="23" fillId="0" borderId="91" xfId="0" applyFont="1" applyBorder="1"/>
    <xf numFmtId="0" fontId="5" fillId="0" borderId="73" xfId="0" applyFont="1" applyBorder="1"/>
    <xf numFmtId="0" fontId="5" fillId="0" borderId="74" xfId="0" applyFont="1" applyBorder="1"/>
    <xf numFmtId="0" fontId="5" fillId="0" borderId="81" xfId="0" applyFont="1" applyBorder="1"/>
    <xf numFmtId="0" fontId="5" fillId="0" borderId="82" xfId="0" applyFont="1" applyBorder="1"/>
    <xf numFmtId="0" fontId="5" fillId="0" borderId="77" xfId="0" applyFont="1" applyBorder="1"/>
    <xf numFmtId="0" fontId="5" fillId="0" borderId="78" xfId="0" applyFont="1" applyBorder="1"/>
    <xf numFmtId="0" fontId="5" fillId="0" borderId="61" xfId="0" applyFont="1" applyBorder="1"/>
    <xf numFmtId="0" fontId="5" fillId="0" borderId="62" xfId="0" applyFont="1" applyBorder="1"/>
    <xf numFmtId="0" fontId="5" fillId="0" borderId="92" xfId="0" applyFont="1" applyBorder="1"/>
    <xf numFmtId="0" fontId="5" fillId="0" borderId="79" xfId="0" applyFont="1" applyBorder="1"/>
    <xf numFmtId="0" fontId="5" fillId="0" borderId="75" xfId="0" applyFont="1" applyBorder="1"/>
    <xf numFmtId="0" fontId="5" fillId="0" borderId="83" xfId="0" applyFont="1" applyBorder="1"/>
    <xf numFmtId="0" fontId="0" fillId="0" borderId="0" xfId="0" applyAlignment="1"/>
    <xf numFmtId="0" fontId="23" fillId="0" borderId="13" xfId="0" applyFont="1" applyBorder="1" applyAlignment="1">
      <alignment horizontal="centerContinuous"/>
    </xf>
    <xf numFmtId="0" fontId="23" fillId="0" borderId="14" xfId="0" applyFont="1" applyBorder="1" applyAlignment="1">
      <alignment horizontal="centerContinuous"/>
    </xf>
    <xf numFmtId="0" fontId="23" fillId="0" borderId="60" xfId="0" applyFont="1" applyBorder="1" applyAlignment="1">
      <alignment horizontal="centerContinuous"/>
    </xf>
    <xf numFmtId="0" fontId="23" fillId="0" borderId="16" xfId="0" applyFont="1" applyBorder="1" applyAlignment="1">
      <alignment horizontal="center"/>
    </xf>
    <xf numFmtId="0" fontId="23" fillId="0" borderId="61" xfId="0" applyFont="1" applyBorder="1" applyAlignment="1">
      <alignment horizontal="center"/>
    </xf>
    <xf numFmtId="0" fontId="23" fillId="0" borderId="72" xfId="0" applyFont="1" applyBorder="1" applyAlignment="1">
      <alignment horizontal="left" indent="1"/>
    </xf>
    <xf numFmtId="0" fontId="23" fillId="0" borderId="66" xfId="0" applyFont="1" applyBorder="1" applyAlignment="1">
      <alignment horizontal="left" indent="1"/>
    </xf>
    <xf numFmtId="0" fontId="23" fillId="0" borderId="93" xfId="0" applyFont="1" applyBorder="1" applyAlignment="1">
      <alignment horizontal="left" indent="1"/>
    </xf>
    <xf numFmtId="164" fontId="23" fillId="0" borderId="94" xfId="0" applyNumberFormat="1" applyFont="1" applyBorder="1" applyProtection="1"/>
    <xf numFmtId="164" fontId="18" fillId="0" borderId="95" xfId="0" applyNumberFormat="1" applyFont="1" applyBorder="1" applyAlignment="1" applyProtection="1">
      <alignment horizontal="left"/>
    </xf>
    <xf numFmtId="164" fontId="8" fillId="0" borderId="95" xfId="0" applyNumberFormat="1" applyFont="1" applyBorder="1" applyAlignment="1" applyProtection="1">
      <alignment horizontal="left"/>
    </xf>
    <xf numFmtId="164" fontId="23" fillId="0" borderId="95" xfId="0" applyNumberFormat="1" applyFont="1" applyBorder="1" applyProtection="1"/>
    <xf numFmtId="164" fontId="23" fillId="0" borderId="96" xfId="0" applyNumberFormat="1" applyFont="1" applyBorder="1" applyProtection="1"/>
    <xf numFmtId="164" fontId="23" fillId="0" borderId="27" xfId="0" applyNumberFormat="1" applyFont="1" applyBorder="1" applyProtection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23" fillId="0" borderId="25" xfId="0" quotePrefix="1" applyNumberFormat="1" applyFont="1" applyBorder="1" applyAlignment="1" applyProtection="1">
      <alignment horizontal="left"/>
    </xf>
    <xf numFmtId="164" fontId="23" fillId="0" borderId="25" xfId="0" applyNumberFormat="1" applyFont="1" applyBorder="1" applyAlignment="1" applyProtection="1">
      <alignment horizontal="left"/>
    </xf>
    <xf numFmtId="164" fontId="4" fillId="0" borderId="28" xfId="0" quotePrefix="1" applyNumberFormat="1" applyFont="1" applyBorder="1" applyAlignment="1" applyProtection="1">
      <alignment horizontal="left"/>
    </xf>
    <xf numFmtId="164" fontId="4" fillId="0" borderId="16" xfId="0" quotePrefix="1" applyNumberFormat="1" applyFont="1" applyBorder="1" applyAlignment="1" applyProtection="1">
      <alignment horizontal="left"/>
    </xf>
    <xf numFmtId="0" fontId="5" fillId="0" borderId="44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164" fontId="7" fillId="0" borderId="0" xfId="11" applyNumberFormat="1" applyFont="1">
      <alignment vertical="top"/>
    </xf>
    <xf numFmtId="164" fontId="29" fillId="0" borderId="0" xfId="0" applyNumberFormat="1" applyFont="1"/>
    <xf numFmtId="164" fontId="4" fillId="0" borderId="0" xfId="15" quotePrefix="1" applyNumberFormat="1" applyFont="1" applyProtection="1">
      <alignment horizontal="left" vertical="top"/>
    </xf>
    <xf numFmtId="164" fontId="4" fillId="0" borderId="0" xfId="15" applyNumberFormat="1" applyFont="1" applyProtection="1">
      <alignment horizontal="left" vertical="top"/>
    </xf>
    <xf numFmtId="0" fontId="0" fillId="0" borderId="0" xfId="0" applyAlignment="1">
      <alignment horizontal="center"/>
    </xf>
    <xf numFmtId="0" fontId="45" fillId="0" borderId="0" xfId="0" applyFont="1"/>
    <xf numFmtId="0" fontId="46" fillId="0" borderId="0" xfId="0" applyFont="1"/>
    <xf numFmtId="0" fontId="24" fillId="0" borderId="0" xfId="8"/>
    <xf numFmtId="164" fontId="3" fillId="0" borderId="0" xfId="8" applyNumberFormat="1" applyFont="1" applyProtection="1"/>
    <xf numFmtId="0" fontId="5" fillId="0" borderId="28" xfId="8" applyFont="1" applyBorder="1" applyAlignment="1">
      <alignment horizontal="center"/>
    </xf>
    <xf numFmtId="0" fontId="5" fillId="0" borderId="89" xfId="8" quotePrefix="1" applyFont="1" applyBorder="1" applyAlignment="1">
      <alignment horizontal="centerContinuous"/>
    </xf>
    <xf numFmtId="0" fontId="24" fillId="0" borderId="90" xfId="8" applyBorder="1" applyAlignment="1">
      <alignment horizontal="centerContinuous"/>
    </xf>
    <xf numFmtId="164" fontId="3" fillId="0" borderId="90" xfId="8" applyNumberFormat="1" applyFont="1" applyBorder="1" applyAlignment="1" applyProtection="1">
      <alignment horizontal="centerContinuous"/>
    </xf>
    <xf numFmtId="0" fontId="3" fillId="0" borderId="90" xfId="8" applyFont="1" applyBorder="1" applyAlignment="1">
      <alignment horizontal="centerContinuous"/>
    </xf>
    <xf numFmtId="0" fontId="3" fillId="0" borderId="91" xfId="8" applyFont="1" applyBorder="1" applyAlignment="1">
      <alignment horizontal="centerContinuous"/>
    </xf>
    <xf numFmtId="0" fontId="5" fillId="0" borderId="17" xfId="8" applyFont="1" applyBorder="1" applyAlignment="1">
      <alignment horizontal="center"/>
    </xf>
    <xf numFmtId="0" fontId="5" fillId="0" borderId="0" xfId="8" quotePrefix="1" applyFont="1" applyAlignment="1">
      <alignment horizontal="left"/>
    </xf>
    <xf numFmtId="0" fontId="3" fillId="0" borderId="0" xfId="8" applyFont="1"/>
    <xf numFmtId="2" fontId="23" fillId="0" borderId="0" xfId="0" applyNumberFormat="1" applyFont="1" applyProtection="1"/>
    <xf numFmtId="182" fontId="23" fillId="0" borderId="0" xfId="0" applyNumberFormat="1" applyFont="1" applyProtection="1"/>
    <xf numFmtId="183" fontId="23" fillId="0" borderId="0" xfId="0" applyNumberFormat="1" applyFont="1" applyProtection="1"/>
    <xf numFmtId="4" fontId="23" fillId="0" borderId="0" xfId="0" applyNumberFormat="1" applyFont="1" applyProtection="1"/>
    <xf numFmtId="0" fontId="24" fillId="0" borderId="14" xfId="8" applyBorder="1" applyAlignment="1">
      <alignment horizontal="centerContinuous"/>
    </xf>
    <xf numFmtId="164" fontId="3" fillId="0" borderId="14" xfId="8" applyNumberFormat="1" applyFont="1" applyBorder="1" applyAlignment="1" applyProtection="1">
      <alignment horizontal="centerContinuous"/>
    </xf>
    <xf numFmtId="0" fontId="3" fillId="0" borderId="14" xfId="8" applyFont="1" applyBorder="1" applyAlignment="1">
      <alignment horizontal="centerContinuous"/>
    </xf>
    <xf numFmtId="0" fontId="3" fillId="0" borderId="15" xfId="8" applyFont="1" applyBorder="1" applyAlignment="1">
      <alignment horizontal="centerContinuous"/>
    </xf>
    <xf numFmtId="0" fontId="4" fillId="0" borderId="13" xfId="8" quotePrefix="1" applyFont="1" applyBorder="1" applyAlignment="1">
      <alignment horizontal="centerContinuous"/>
    </xf>
    <xf numFmtId="3" fontId="5" fillId="0" borderId="0" xfId="0" applyNumberFormat="1" applyFont="1" applyAlignment="1" applyProtection="1"/>
    <xf numFmtId="164" fontId="0" fillId="0" borderId="0" xfId="0" applyNumberFormat="1" applyFont="1" applyFill="1" applyAlignment="1" applyProtection="1">
      <alignment horizontal="right"/>
    </xf>
    <xf numFmtId="164" fontId="4" fillId="0" borderId="97" xfId="0" applyNumberFormat="1" applyFont="1" applyFill="1" applyBorder="1" applyAlignment="1" applyProtection="1">
      <alignment horizontal="left"/>
    </xf>
    <xf numFmtId="164" fontId="4" fillId="0" borderId="97" xfId="0" applyNumberFormat="1" applyFont="1" applyFill="1" applyBorder="1" applyAlignment="1" applyProtection="1">
      <alignment horizontal="center"/>
    </xf>
    <xf numFmtId="164" fontId="4" fillId="0" borderId="98" xfId="0" applyNumberFormat="1" applyFont="1" applyFill="1" applyBorder="1" applyAlignment="1" applyProtection="1">
      <alignment horizontal="center"/>
    </xf>
    <xf numFmtId="9" fontId="0" fillId="0" borderId="4" xfId="4" applyFont="1" applyFill="1" applyBorder="1" applyAlignment="1" applyProtection="1">
      <alignment horizontal="center"/>
    </xf>
    <xf numFmtId="9" fontId="0" fillId="0" borderId="99" xfId="4" applyFont="1" applyFill="1" applyBorder="1" applyAlignment="1" applyProtection="1">
      <alignment horizontal="center"/>
    </xf>
    <xf numFmtId="2" fontId="0" fillId="0" borderId="0" xfId="0" applyNumberFormat="1"/>
    <xf numFmtId="164" fontId="7" fillId="0" borderId="0" xfId="11" applyNumberFormat="1" applyFont="1" applyProtection="1">
      <alignment vertical="top"/>
    </xf>
    <xf numFmtId="185" fontId="17" fillId="0" borderId="4" xfId="0" applyNumberFormat="1" applyFont="1" applyFill="1" applyBorder="1" applyProtection="1"/>
    <xf numFmtId="185" fontId="17" fillId="0" borderId="99" xfId="0" applyNumberFormat="1" applyFont="1" applyFill="1" applyBorder="1" applyProtection="1"/>
    <xf numFmtId="185" fontId="17" fillId="0" borderId="26" xfId="0" applyNumberFormat="1" applyFont="1" applyFill="1" applyBorder="1" applyProtection="1"/>
    <xf numFmtId="185" fontId="17" fillId="0" borderId="100" xfId="0" applyNumberFormat="1" applyFont="1" applyFill="1" applyBorder="1" applyProtection="1"/>
    <xf numFmtId="186" fontId="0" fillId="0" borderId="4" xfId="0" applyNumberFormat="1" applyFont="1" applyFill="1" applyBorder="1" applyProtection="1"/>
    <xf numFmtId="186" fontId="0" fillId="0" borderId="99" xfId="0" applyNumberFormat="1" applyFont="1" applyFill="1" applyBorder="1" applyProtection="1"/>
    <xf numFmtId="186" fontId="17" fillId="0" borderId="4" xfId="0" applyNumberFormat="1" applyFont="1" applyFill="1" applyBorder="1" applyProtection="1"/>
    <xf numFmtId="186" fontId="17" fillId="0" borderId="99" xfId="0" applyNumberFormat="1" applyFont="1" applyFill="1" applyBorder="1" applyProtection="1"/>
    <xf numFmtId="185" fontId="3" fillId="0" borderId="4" xfId="0" applyNumberFormat="1" applyFont="1" applyFill="1" applyBorder="1" applyProtection="1"/>
    <xf numFmtId="185" fontId="3" fillId="0" borderId="99" xfId="0" applyNumberFormat="1" applyFont="1" applyFill="1" applyBorder="1" applyProtection="1"/>
    <xf numFmtId="164" fontId="0" fillId="0" borderId="4" xfId="0" applyNumberFormat="1" applyFont="1" applyFill="1" applyBorder="1" applyAlignment="1" applyProtection="1">
      <alignment horizontal="center"/>
    </xf>
    <xf numFmtId="188" fontId="0" fillId="0" borderId="4" xfId="0" applyNumberFormat="1" applyFont="1" applyFill="1" applyBorder="1" applyProtection="1"/>
    <xf numFmtId="188" fontId="0" fillId="0" borderId="8" xfId="0" applyNumberFormat="1" applyFont="1" applyFill="1" applyBorder="1" applyProtection="1"/>
    <xf numFmtId="0" fontId="22" fillId="0" borderId="0" xfId="0" applyFont="1" applyFill="1" applyProtection="1">
      <protection locked="0"/>
    </xf>
    <xf numFmtId="0" fontId="17" fillId="0" borderId="0" xfId="0" quotePrefix="1" applyFont="1" applyFill="1" applyAlignment="1" applyProtection="1">
      <alignment horizontal="left"/>
      <protection locked="0"/>
    </xf>
    <xf numFmtId="0" fontId="0" fillId="0" borderId="0" xfId="0" applyFont="1" applyFill="1" applyProtection="1">
      <protection locked="0"/>
    </xf>
    <xf numFmtId="164" fontId="17" fillId="0" borderId="0" xfId="0" quotePrefix="1" applyNumberFormat="1" applyFont="1" applyFill="1" applyAlignment="1" applyProtection="1">
      <alignment horizontal="left"/>
      <protection locked="0"/>
    </xf>
    <xf numFmtId="0" fontId="0" fillId="0" borderId="0" xfId="0" applyFill="1" applyAlignment="1" applyProtection="1">
      <alignment vertical="top"/>
      <protection locked="0"/>
    </xf>
    <xf numFmtId="164" fontId="0" fillId="0" borderId="101" xfId="0" applyNumberFormat="1" applyFont="1" applyFill="1" applyBorder="1" applyAlignment="1" applyProtection="1">
      <alignment horizontal="left"/>
      <protection locked="0"/>
    </xf>
    <xf numFmtId="164" fontId="0" fillId="0" borderId="102" xfId="0" applyNumberFormat="1" applyFont="1" applyFill="1" applyBorder="1" applyProtection="1">
      <protection locked="0"/>
    </xf>
    <xf numFmtId="164" fontId="0" fillId="4" borderId="103" xfId="0" applyNumberFormat="1" applyFont="1" applyFill="1" applyBorder="1" applyAlignment="1" applyProtection="1">
      <alignment horizontal="left"/>
      <protection locked="0"/>
    </xf>
    <xf numFmtId="164" fontId="0" fillId="2" borderId="103" xfId="0" applyNumberFormat="1" applyFont="1" applyFill="1" applyBorder="1" applyProtection="1">
      <protection locked="0"/>
    </xf>
    <xf numFmtId="164" fontId="0" fillId="0" borderId="102" xfId="0" applyNumberFormat="1" applyFont="1" applyFill="1" applyBorder="1" applyAlignment="1" applyProtection="1">
      <alignment horizontal="left"/>
      <protection locked="0"/>
    </xf>
    <xf numFmtId="164" fontId="0" fillId="0" borderId="103" xfId="0" applyNumberFormat="1" applyFont="1" applyFill="1" applyBorder="1" applyProtection="1">
      <protection locked="0"/>
    </xf>
    <xf numFmtId="164" fontId="6" fillId="0" borderId="102" xfId="0" applyNumberFormat="1" applyFont="1" applyFill="1" applyBorder="1" applyProtection="1">
      <protection locked="0"/>
    </xf>
    <xf numFmtId="164" fontId="0" fillId="0" borderId="104" xfId="0" applyNumberFormat="1" applyFont="1" applyFill="1" applyBorder="1" applyProtection="1">
      <protection locked="0"/>
    </xf>
    <xf numFmtId="164" fontId="0" fillId="0" borderId="105" xfId="0" applyNumberFormat="1" applyFont="1" applyFill="1" applyBorder="1" applyAlignment="1" applyProtection="1">
      <alignment horizontal="left"/>
      <protection locked="0"/>
    </xf>
    <xf numFmtId="164" fontId="0" fillId="0" borderId="0" xfId="0" applyNumberFormat="1" applyFont="1" applyFill="1" applyProtection="1">
      <protection locked="0"/>
    </xf>
    <xf numFmtId="164" fontId="0" fillId="0" borderId="4" xfId="0" applyNumberFormat="1" applyFont="1" applyFill="1" applyBorder="1" applyAlignment="1" applyProtection="1">
      <alignment horizontal="left"/>
      <protection locked="0"/>
    </xf>
    <xf numFmtId="164" fontId="0" fillId="2" borderId="4" xfId="0" applyNumberFormat="1" applyFont="1" applyFill="1" applyBorder="1" applyProtection="1">
      <protection locked="0"/>
    </xf>
    <xf numFmtId="164" fontId="0" fillId="0" borderId="0" xfId="0" applyNumberFormat="1" applyFont="1" applyFill="1" applyAlignment="1" applyProtection="1">
      <alignment horizontal="left"/>
      <protection locked="0"/>
    </xf>
    <xf numFmtId="164" fontId="0" fillId="0" borderId="0" xfId="0" applyNumberFormat="1" applyFont="1" applyFill="1" applyAlignment="1" applyProtection="1">
      <alignment horizontal="center"/>
      <protection locked="0"/>
    </xf>
    <xf numFmtId="164" fontId="0" fillId="0" borderId="0" xfId="0" applyNumberFormat="1" applyFont="1" applyFill="1" applyAlignment="1" applyProtection="1">
      <alignment horizontal="right"/>
      <protection locked="0"/>
    </xf>
    <xf numFmtId="0" fontId="0" fillId="0" borderId="0" xfId="0" quotePrefix="1" applyFill="1" applyProtection="1">
      <protection locked="0"/>
    </xf>
    <xf numFmtId="164" fontId="0" fillId="0" borderId="99" xfId="0" applyNumberFormat="1" applyFont="1" applyFill="1" applyBorder="1" applyProtection="1">
      <protection locked="0"/>
    </xf>
    <xf numFmtId="0" fontId="0" fillId="0" borderId="0" xfId="0" applyFont="1" applyFill="1" applyAlignment="1" applyProtection="1">
      <alignment horizontal="right"/>
      <protection locked="0"/>
    </xf>
    <xf numFmtId="164" fontId="0" fillId="2" borderId="0" xfId="0" applyNumberFormat="1" applyFont="1" applyFill="1" applyAlignment="1" applyProtection="1">
      <alignment horizontal="center"/>
      <protection locked="0"/>
    </xf>
    <xf numFmtId="188" fontId="0" fillId="2" borderId="0" xfId="0" applyNumberFormat="1" applyFont="1" applyFill="1" applyProtection="1">
      <protection locked="0"/>
    </xf>
    <xf numFmtId="168" fontId="0" fillId="0" borderId="0" xfId="0" applyNumberFormat="1" applyFont="1" applyFill="1" applyProtection="1">
      <protection locked="0"/>
    </xf>
    <xf numFmtId="168" fontId="0" fillId="0" borderId="0" xfId="0" quotePrefix="1" applyNumberFormat="1" applyFill="1" applyProtection="1">
      <protection locked="0"/>
    </xf>
    <xf numFmtId="168" fontId="0" fillId="0" borderId="99" xfId="0" applyNumberFormat="1" applyFont="1" applyFill="1" applyBorder="1" applyProtection="1">
      <protection locked="0"/>
    </xf>
    <xf numFmtId="164" fontId="0" fillId="4" borderId="4" xfId="0" applyNumberFormat="1" applyFont="1" applyFill="1" applyBorder="1" applyAlignment="1" applyProtection="1">
      <alignment horizontal="left"/>
      <protection locked="0"/>
    </xf>
    <xf numFmtId="168" fontId="0" fillId="0" borderId="0" xfId="0" applyNumberFormat="1" applyFill="1" applyProtection="1">
      <protection locked="0"/>
    </xf>
    <xf numFmtId="164" fontId="0" fillId="0" borderId="105" xfId="0" applyNumberFormat="1" applyFill="1" applyBorder="1" applyAlignment="1" applyProtection="1">
      <alignment horizontal="left"/>
      <protection locked="0"/>
    </xf>
    <xf numFmtId="187" fontId="0" fillId="2" borderId="4" xfId="4" applyNumberFormat="1" applyFont="1" applyFill="1" applyBorder="1" applyProtection="1">
      <protection locked="0"/>
    </xf>
    <xf numFmtId="164" fontId="0" fillId="0" borderId="9" xfId="0" applyNumberFormat="1" applyFont="1" applyFill="1" applyBorder="1" applyAlignment="1" applyProtection="1">
      <alignment horizontal="left"/>
      <protection locked="0"/>
    </xf>
    <xf numFmtId="164" fontId="0" fillId="0" borderId="9" xfId="0" applyNumberFormat="1" applyFont="1" applyFill="1" applyBorder="1" applyAlignment="1" applyProtection="1">
      <alignment horizontal="right"/>
      <protection locked="0"/>
    </xf>
    <xf numFmtId="164" fontId="0" fillId="0" borderId="9" xfId="0" applyNumberFormat="1" applyFont="1" applyFill="1" applyBorder="1" applyProtection="1">
      <protection locked="0"/>
    </xf>
    <xf numFmtId="188" fontId="0" fillId="0" borderId="9" xfId="0" applyNumberFormat="1" applyFont="1" applyFill="1" applyBorder="1" applyProtection="1">
      <protection locked="0"/>
    </xf>
    <xf numFmtId="164" fontId="0" fillId="0" borderId="4" xfId="0" applyNumberFormat="1" applyFont="1" applyFill="1" applyBorder="1" applyProtection="1">
      <protection locked="0"/>
    </xf>
    <xf numFmtId="164" fontId="4" fillId="0" borderId="106" xfId="0" applyNumberFormat="1" applyFont="1" applyFill="1" applyBorder="1" applyAlignment="1" applyProtection="1">
      <alignment horizontal="left"/>
      <protection locked="0"/>
    </xf>
    <xf numFmtId="164" fontId="0" fillId="0" borderId="107" xfId="0" applyNumberFormat="1" applyFont="1" applyFill="1" applyBorder="1" applyProtection="1">
      <protection locked="0"/>
    </xf>
    <xf numFmtId="164" fontId="48" fillId="4" borderId="107" xfId="0" applyNumberFormat="1" applyFont="1" applyFill="1" applyBorder="1" applyProtection="1">
      <protection locked="0"/>
    </xf>
    <xf numFmtId="164" fontId="4" fillId="4" borderId="97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 applyFont="1" applyFill="1" applyBorder="1" applyProtection="1">
      <protection locked="0"/>
    </xf>
    <xf numFmtId="4" fontId="0" fillId="0" borderId="4" xfId="4" applyNumberFormat="1" applyFont="1" applyFill="1" applyBorder="1" applyProtection="1">
      <protection locked="0"/>
    </xf>
    <xf numFmtId="4" fontId="0" fillId="0" borderId="99" xfId="4" applyNumberFormat="1" applyFont="1" applyFill="1" applyBorder="1" applyProtection="1">
      <protection locked="0"/>
    </xf>
    <xf numFmtId="164" fontId="27" fillId="0" borderId="105" xfId="0" applyNumberFormat="1" applyFont="1" applyFill="1" applyBorder="1" applyAlignment="1" applyProtection="1">
      <alignment horizontal="left"/>
      <protection locked="0"/>
    </xf>
    <xf numFmtId="164" fontId="0" fillId="0" borderId="105" xfId="0" quotePrefix="1" applyNumberFormat="1" applyFill="1" applyBorder="1" applyAlignment="1" applyProtection="1">
      <alignment horizontal="left"/>
      <protection locked="0"/>
    </xf>
    <xf numFmtId="0" fontId="0" fillId="0" borderId="0" xfId="0" quotePrefix="1" applyFill="1" applyAlignment="1" applyProtection="1">
      <alignment horizontal="left"/>
      <protection locked="0"/>
    </xf>
    <xf numFmtId="166" fontId="0" fillId="0" borderId="0" xfId="0" applyNumberFormat="1" applyFont="1" applyFill="1" applyProtection="1">
      <protection locked="0"/>
    </xf>
    <xf numFmtId="164" fontId="3" fillId="0" borderId="105" xfId="0" quotePrefix="1" applyNumberFormat="1" applyFont="1" applyFill="1" applyBorder="1" applyAlignment="1" applyProtection="1">
      <alignment horizontal="left"/>
      <protection locked="0"/>
    </xf>
    <xf numFmtId="164" fontId="0" fillId="0" borderId="0" xfId="0" quotePrefix="1" applyNumberFormat="1" applyFill="1" applyAlignment="1" applyProtection="1">
      <alignment horizontal="right"/>
      <protection locked="0"/>
    </xf>
    <xf numFmtId="164" fontId="3" fillId="0" borderId="105" xfId="0" applyNumberFormat="1" applyFont="1" applyFill="1" applyBorder="1" applyAlignment="1" applyProtection="1">
      <alignment horizontal="left"/>
      <protection locked="0"/>
    </xf>
    <xf numFmtId="164" fontId="17" fillId="0" borderId="105" xfId="0" applyNumberFormat="1" applyFont="1" applyFill="1" applyBorder="1" applyAlignment="1" applyProtection="1">
      <alignment horizontal="left"/>
      <protection locked="0"/>
    </xf>
    <xf numFmtId="0" fontId="49" fillId="0" borderId="0" xfId="0" applyFont="1" applyFill="1" applyProtection="1">
      <protection locked="0"/>
    </xf>
    <xf numFmtId="166" fontId="0" fillId="0" borderId="4" xfId="0" applyNumberFormat="1" applyFont="1" applyFill="1" applyBorder="1" applyAlignment="1" applyProtection="1">
      <alignment horizontal="left"/>
      <protection locked="0"/>
    </xf>
    <xf numFmtId="166" fontId="0" fillId="0" borderId="99" xfId="0" applyNumberFormat="1" applyFont="1" applyFill="1" applyBorder="1" applyAlignment="1" applyProtection="1">
      <alignment horizontal="left"/>
      <protection locked="0"/>
    </xf>
    <xf numFmtId="0" fontId="0" fillId="2" borderId="0" xfId="0" applyNumberFormat="1" applyFont="1" applyFill="1" applyAlignment="1" applyProtection="1">
      <alignment horizontal="right"/>
      <protection locked="0"/>
    </xf>
    <xf numFmtId="166" fontId="0" fillId="0" borderId="4" xfId="0" applyNumberFormat="1" applyFont="1" applyFill="1" applyBorder="1" applyProtection="1">
      <protection locked="0"/>
    </xf>
    <xf numFmtId="166" fontId="0" fillId="0" borderId="99" xfId="0" applyNumberFormat="1" applyFont="1" applyFill="1" applyBorder="1" applyProtection="1">
      <protection locked="0"/>
    </xf>
    <xf numFmtId="164" fontId="17" fillId="0" borderId="108" xfId="0" applyNumberFormat="1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right"/>
      <protection locked="0"/>
    </xf>
    <xf numFmtId="0" fontId="4" fillId="0" borderId="0" xfId="0" applyFont="1" applyFill="1" applyAlignment="1" applyProtection="1">
      <alignment horizontal="centerContinuous"/>
      <protection locked="0"/>
    </xf>
    <xf numFmtId="0" fontId="0" fillId="0" borderId="0" xfId="0" applyFont="1" applyFill="1" applyAlignment="1" applyProtection="1">
      <alignment horizontal="centerContinuous"/>
      <protection locked="0"/>
    </xf>
    <xf numFmtId="164" fontId="0" fillId="2" borderId="0" xfId="0" applyNumberFormat="1" applyFont="1" applyFill="1" applyProtection="1">
      <protection locked="0"/>
    </xf>
    <xf numFmtId="187" fontId="3" fillId="2" borderId="4" xfId="4" applyNumberFormat="1" applyFont="1" applyFill="1" applyBorder="1" applyProtection="1">
      <protection locked="0"/>
    </xf>
    <xf numFmtId="9" fontId="3" fillId="0" borderId="4" xfId="4" applyFont="1" applyFill="1" applyBorder="1" applyAlignment="1" applyProtection="1">
      <alignment horizontal="center"/>
    </xf>
    <xf numFmtId="9" fontId="3" fillId="0" borderId="99" xfId="4" applyFont="1" applyFill="1" applyBorder="1" applyAlignment="1" applyProtection="1">
      <alignment horizontal="center"/>
    </xf>
    <xf numFmtId="4" fontId="3" fillId="0" borderId="4" xfId="4" applyNumberFormat="1" applyFont="1" applyFill="1" applyBorder="1" applyProtection="1">
      <protection locked="0"/>
    </xf>
    <xf numFmtId="4" fontId="3" fillId="0" borderId="99" xfId="4" applyNumberFormat="1" applyFont="1" applyFill="1" applyBorder="1" applyProtection="1">
      <protection locked="0"/>
    </xf>
    <xf numFmtId="164" fontId="0" fillId="4" borderId="4" xfId="0" applyNumberFormat="1" applyFill="1" applyBorder="1" applyAlignment="1" applyProtection="1">
      <alignment horizontal="left"/>
      <protection locked="0"/>
    </xf>
    <xf numFmtId="164" fontId="3" fillId="0" borderId="109" xfId="0" quotePrefix="1" applyNumberFormat="1" applyFont="1" applyFill="1" applyBorder="1" applyAlignment="1" applyProtection="1">
      <alignment horizontal="left"/>
      <protection locked="0"/>
    </xf>
    <xf numFmtId="0" fontId="0" fillId="0" borderId="95" xfId="0" applyFont="1" applyFill="1" applyBorder="1" applyProtection="1">
      <protection locked="0"/>
    </xf>
    <xf numFmtId="164" fontId="0" fillId="0" borderId="96" xfId="0" applyNumberFormat="1" applyFont="1" applyFill="1" applyBorder="1" applyAlignment="1" applyProtection="1">
      <alignment horizontal="left"/>
    </xf>
    <xf numFmtId="185" fontId="3" fillId="0" borderId="96" xfId="0" applyNumberFormat="1" applyFont="1" applyFill="1" applyBorder="1" applyProtection="1"/>
    <xf numFmtId="185" fontId="3" fillId="0" borderId="110" xfId="0" applyNumberFormat="1" applyFont="1" applyFill="1" applyBorder="1" applyProtection="1"/>
    <xf numFmtId="164" fontId="3" fillId="0" borderId="109" xfId="0" applyNumberFormat="1" applyFont="1" applyFill="1" applyBorder="1" applyAlignment="1" applyProtection="1">
      <alignment horizontal="left"/>
      <protection locked="0"/>
    </xf>
    <xf numFmtId="166" fontId="0" fillId="0" borderId="95" xfId="0" applyNumberFormat="1" applyFont="1" applyFill="1" applyBorder="1" applyProtection="1">
      <protection locked="0"/>
    </xf>
    <xf numFmtId="164" fontId="0" fillId="0" borderId="109" xfId="0" applyNumberFormat="1" applyFont="1" applyFill="1" applyBorder="1" applyAlignment="1" applyProtection="1">
      <alignment horizontal="left"/>
      <protection locked="0"/>
    </xf>
    <xf numFmtId="186" fontId="0" fillId="0" borderId="96" xfId="0" applyNumberFormat="1" applyFont="1" applyFill="1" applyBorder="1" applyProtection="1"/>
    <xf numFmtId="186" fontId="0" fillId="0" borderId="110" xfId="0" applyNumberFormat="1" applyFont="1" applyFill="1" applyBorder="1" applyProtection="1"/>
    <xf numFmtId="164" fontId="0" fillId="0" borderId="95" xfId="0" applyNumberFormat="1" applyFont="1" applyFill="1" applyBorder="1" applyAlignment="1" applyProtection="1">
      <alignment horizontal="left"/>
      <protection locked="0"/>
    </xf>
    <xf numFmtId="164" fontId="3" fillId="0" borderId="111" xfId="0" applyNumberFormat="1" applyFont="1" applyFill="1" applyBorder="1" applyAlignment="1" applyProtection="1">
      <alignment horizontal="left"/>
      <protection locked="0"/>
    </xf>
    <xf numFmtId="0" fontId="0" fillId="0" borderId="25" xfId="0" applyFont="1" applyFill="1" applyBorder="1" applyProtection="1">
      <protection locked="0"/>
    </xf>
    <xf numFmtId="164" fontId="0" fillId="0" borderId="68" xfId="0" applyNumberFormat="1" applyFont="1" applyFill="1" applyBorder="1" applyAlignment="1" applyProtection="1">
      <alignment horizontal="left"/>
    </xf>
    <xf numFmtId="185" fontId="3" fillId="0" borderId="68" xfId="0" applyNumberFormat="1" applyFont="1" applyFill="1" applyBorder="1" applyProtection="1"/>
    <xf numFmtId="185" fontId="3" fillId="0" borderId="112" xfId="0" applyNumberFormat="1" applyFont="1" applyFill="1" applyBorder="1" applyProtection="1"/>
    <xf numFmtId="164" fontId="0" fillId="0" borderId="111" xfId="0" applyNumberFormat="1" applyFont="1" applyFill="1" applyBorder="1" applyAlignment="1" applyProtection="1">
      <alignment horizontal="left"/>
      <protection locked="0"/>
    </xf>
    <xf numFmtId="186" fontId="0" fillId="0" borderId="68" xfId="0" applyNumberFormat="1" applyFont="1" applyFill="1" applyBorder="1" applyProtection="1"/>
    <xf numFmtId="186" fontId="0" fillId="0" borderId="112" xfId="0" applyNumberFormat="1" applyFont="1" applyFill="1" applyBorder="1" applyProtection="1"/>
    <xf numFmtId="164" fontId="0" fillId="0" borderId="113" xfId="0" applyNumberFormat="1" applyFill="1" applyBorder="1" applyAlignment="1" applyProtection="1">
      <alignment horizontal="left"/>
      <protection locked="0"/>
    </xf>
    <xf numFmtId="164" fontId="0" fillId="0" borderId="23" xfId="0" applyNumberFormat="1" applyFont="1" applyFill="1" applyBorder="1" applyProtection="1">
      <protection locked="0"/>
    </xf>
    <xf numFmtId="184" fontId="0" fillId="0" borderId="23" xfId="0" applyNumberFormat="1" applyFill="1" applyBorder="1" applyAlignment="1" applyProtection="1">
      <alignment horizontal="right"/>
      <protection locked="0"/>
    </xf>
    <xf numFmtId="164" fontId="3" fillId="2" borderId="24" xfId="0" applyNumberFormat="1" applyFont="1" applyFill="1" applyBorder="1" applyAlignment="1" applyProtection="1">
      <alignment horizontal="left"/>
      <protection locked="0"/>
    </xf>
    <xf numFmtId="4" fontId="3" fillId="0" borderId="24" xfId="4" applyNumberFormat="1" applyFont="1" applyFill="1" applyBorder="1" applyAlignment="1" applyProtection="1">
      <alignment horizontal="center"/>
    </xf>
    <xf numFmtId="4" fontId="3" fillId="0" borderId="114" xfId="4" applyNumberFormat="1" applyFont="1" applyFill="1" applyBorder="1" applyAlignment="1" applyProtection="1">
      <alignment horizontal="center"/>
    </xf>
    <xf numFmtId="4" fontId="0" fillId="0" borderId="24" xfId="4" applyNumberFormat="1" applyFont="1" applyFill="1" applyBorder="1" applyAlignment="1" applyProtection="1">
      <alignment horizontal="center"/>
    </xf>
    <xf numFmtId="4" fontId="0" fillId="0" borderId="114" xfId="4" applyNumberFormat="1" applyFont="1" applyFill="1" applyBorder="1" applyAlignment="1" applyProtection="1">
      <alignment horizontal="center"/>
    </xf>
    <xf numFmtId="164" fontId="17" fillId="0" borderId="113" xfId="0" applyNumberFormat="1" applyFont="1" applyFill="1" applyBorder="1" applyAlignment="1" applyProtection="1">
      <alignment horizontal="left"/>
      <protection locked="0"/>
    </xf>
    <xf numFmtId="164" fontId="17" fillId="0" borderId="24" xfId="0" applyNumberFormat="1" applyFont="1" applyFill="1" applyBorder="1" applyAlignment="1" applyProtection="1">
      <alignment horizontal="left"/>
    </xf>
    <xf numFmtId="185" fontId="17" fillId="0" borderId="24" xfId="0" applyNumberFormat="1" applyFont="1" applyFill="1" applyBorder="1" applyProtection="1"/>
    <xf numFmtId="185" fontId="17" fillId="0" borderId="114" xfId="0" applyNumberFormat="1" applyFont="1" applyFill="1" applyBorder="1" applyProtection="1"/>
    <xf numFmtId="186" fontId="17" fillId="0" borderId="24" xfId="0" applyNumberFormat="1" applyFont="1" applyFill="1" applyBorder="1" applyProtection="1"/>
    <xf numFmtId="186" fontId="17" fillId="0" borderId="114" xfId="0" applyNumberFormat="1" applyFont="1" applyFill="1" applyBorder="1" applyProtection="1"/>
    <xf numFmtId="164" fontId="0" fillId="0" borderId="0" xfId="0" applyNumberFormat="1" applyFill="1" applyBorder="1" applyProtection="1">
      <protection locked="0"/>
    </xf>
    <xf numFmtId="164" fontId="0" fillId="0" borderId="23" xfId="0" applyNumberFormat="1" applyFill="1" applyBorder="1" applyProtection="1">
      <protection locked="0"/>
    </xf>
    <xf numFmtId="164" fontId="4" fillId="0" borderId="0" xfId="0" applyNumberFormat="1" applyFont="1" applyFill="1" applyBorder="1" applyProtection="1">
      <protection locked="0"/>
    </xf>
    <xf numFmtId="164" fontId="4" fillId="0" borderId="115" xfId="0" applyNumberFormat="1" applyFont="1" applyFill="1" applyBorder="1" applyProtection="1">
      <protection locked="0"/>
    </xf>
    <xf numFmtId="3" fontId="3" fillId="0" borderId="0" xfId="0" applyNumberFormat="1" applyFont="1" applyFill="1" applyProtection="1">
      <protection locked="0"/>
    </xf>
    <xf numFmtId="0" fontId="3" fillId="0" borderId="0" xfId="0" applyFont="1" applyFill="1" applyProtection="1">
      <protection locked="0"/>
    </xf>
    <xf numFmtId="3" fontId="3" fillId="0" borderId="0" xfId="0" applyNumberFormat="1" applyFont="1" applyFill="1" applyProtection="1"/>
    <xf numFmtId="164" fontId="4" fillId="0" borderId="116" xfId="0" applyNumberFormat="1" applyFont="1" applyBorder="1" applyAlignment="1" applyProtection="1">
      <alignment horizontal="left"/>
    </xf>
    <xf numFmtId="4" fontId="44" fillId="0" borderId="0" xfId="0" applyNumberFormat="1" applyFont="1" applyBorder="1" applyProtection="1"/>
    <xf numFmtId="164" fontId="5" fillId="0" borderId="25" xfId="0" applyNumberFormat="1" applyFont="1" applyBorder="1" applyProtection="1"/>
    <xf numFmtId="164" fontId="23" fillId="0" borderId="25" xfId="0" applyNumberFormat="1" applyFont="1" applyBorder="1" applyProtection="1"/>
    <xf numFmtId="164" fontId="4" fillId="0" borderId="19" xfId="0" quotePrefix="1" applyNumberFormat="1" applyFont="1" applyBorder="1" applyAlignment="1" applyProtection="1">
      <alignment horizontal="left"/>
    </xf>
    <xf numFmtId="164" fontId="23" fillId="0" borderId="62" xfId="0" applyNumberFormat="1" applyFont="1" applyBorder="1" applyProtection="1"/>
    <xf numFmtId="0" fontId="0" fillId="0" borderId="62" xfId="0" applyBorder="1"/>
    <xf numFmtId="164" fontId="3" fillId="0" borderId="23" xfId="0" applyNumberFormat="1" applyFont="1" applyBorder="1" applyProtection="1"/>
    <xf numFmtId="164" fontId="23" fillId="0" borderId="22" xfId="0" applyNumberFormat="1" applyFont="1" applyBorder="1" applyProtection="1"/>
    <xf numFmtId="164" fontId="4" fillId="0" borderId="11" xfId="0" applyNumberFormat="1" applyFont="1" applyBorder="1" applyAlignment="1" applyProtection="1">
      <alignment horizontal="left"/>
    </xf>
    <xf numFmtId="3" fontId="23" fillId="0" borderId="0" xfId="0" quotePrefix="1" applyNumberFormat="1" applyFont="1" applyBorder="1" applyAlignment="1" applyProtection="1">
      <alignment horizontal="right"/>
    </xf>
    <xf numFmtId="3" fontId="4" fillId="0" borderId="0" xfId="0" applyNumberFormat="1" applyFont="1" applyBorder="1" applyProtection="1"/>
    <xf numFmtId="9" fontId="23" fillId="0" borderId="0" xfId="4" applyFont="1" applyBorder="1" applyProtection="1"/>
    <xf numFmtId="9" fontId="18" fillId="0" borderId="0" xfId="0" applyNumberFormat="1" applyFont="1" applyBorder="1" applyProtection="1"/>
    <xf numFmtId="9" fontId="18" fillId="0" borderId="0" xfId="0" applyNumberFormat="1" applyFont="1" applyBorder="1" applyAlignment="1" applyProtection="1">
      <alignment horizontal="center"/>
    </xf>
    <xf numFmtId="9" fontId="23" fillId="0" borderId="20" xfId="0" applyNumberFormat="1" applyFont="1" applyBorder="1" applyProtection="1"/>
    <xf numFmtId="0" fontId="0" fillId="0" borderId="0" xfId="0" applyNumberFormat="1" applyBorder="1"/>
    <xf numFmtId="0" fontId="23" fillId="0" borderId="0" xfId="0" quotePrefix="1" applyNumberFormat="1" applyFont="1" applyBorder="1" applyAlignment="1" applyProtection="1">
      <alignment horizontal="right"/>
    </xf>
    <xf numFmtId="0" fontId="23" fillId="0" borderId="0" xfId="0" applyNumberFormat="1" applyFont="1" applyBorder="1" applyProtection="1"/>
    <xf numFmtId="0" fontId="23" fillId="0" borderId="0" xfId="4" applyNumberFormat="1" applyFont="1" applyBorder="1" applyProtection="1"/>
    <xf numFmtId="0" fontId="23" fillId="0" borderId="0" xfId="0" applyNumberFormat="1" applyFont="1" applyAlignment="1">
      <alignment horizontal="right"/>
    </xf>
    <xf numFmtId="0" fontId="44" fillId="0" borderId="0" xfId="0" applyNumberFormat="1" applyFont="1" applyBorder="1" applyAlignment="1" applyProtection="1">
      <alignment horizontal="center"/>
    </xf>
    <xf numFmtId="0" fontId="18" fillId="0" borderId="0" xfId="0" applyNumberFormat="1" applyFont="1" applyBorder="1" applyAlignment="1" applyProtection="1">
      <alignment horizontal="center"/>
    </xf>
    <xf numFmtId="0" fontId="0" fillId="0" borderId="0" xfId="0" applyNumberFormat="1"/>
    <xf numFmtId="0" fontId="23" fillId="0" borderId="20" xfId="0" applyNumberFormat="1" applyFont="1" applyBorder="1" applyProtection="1"/>
    <xf numFmtId="0" fontId="0" fillId="0" borderId="0" xfId="0" applyNumberFormat="1" applyFill="1" applyBorder="1"/>
    <xf numFmtId="0" fontId="0" fillId="0" borderId="23" xfId="0" applyNumberFormat="1" applyBorder="1"/>
    <xf numFmtId="0" fontId="23" fillId="0" borderId="23" xfId="0" quotePrefix="1" applyNumberFormat="1" applyFont="1" applyBorder="1" applyAlignment="1" applyProtection="1">
      <alignment horizontal="left"/>
    </xf>
    <xf numFmtId="0" fontId="23" fillId="0" borderId="23" xfId="0" applyNumberFormat="1" applyFont="1" applyBorder="1" applyProtection="1"/>
    <xf numFmtId="0" fontId="23" fillId="0" borderId="23" xfId="0" applyNumberFormat="1" applyFont="1" applyBorder="1" applyAlignment="1" applyProtection="1">
      <alignment horizontal="left"/>
    </xf>
    <xf numFmtId="0" fontId="23" fillId="0" borderId="117" xfId="0" applyNumberFormat="1" applyFont="1" applyBorder="1" applyAlignment="1" applyProtection="1">
      <alignment horizontal="left"/>
    </xf>
    <xf numFmtId="0" fontId="44" fillId="0" borderId="0" xfId="0" applyNumberFormat="1" applyFont="1" applyBorder="1" applyProtection="1"/>
    <xf numFmtId="0" fontId="23" fillId="0" borderId="0" xfId="0" applyNumberFormat="1" applyFont="1" applyAlignment="1"/>
    <xf numFmtId="4" fontId="23" fillId="0" borderId="0" xfId="0" applyNumberFormat="1" applyFont="1"/>
    <xf numFmtId="164" fontId="4" fillId="0" borderId="118" xfId="0" applyNumberFormat="1" applyFont="1" applyBorder="1" applyAlignment="1" applyProtection="1">
      <alignment horizontal="left"/>
    </xf>
    <xf numFmtId="0" fontId="0" fillId="0" borderId="25" xfId="0" applyBorder="1"/>
    <xf numFmtId="3" fontId="23" fillId="0" borderId="25" xfId="0" quotePrefix="1" applyNumberFormat="1" applyFont="1" applyBorder="1" applyAlignment="1" applyProtection="1">
      <alignment horizontal="right"/>
    </xf>
    <xf numFmtId="9" fontId="23" fillId="0" borderId="25" xfId="4" applyFont="1" applyBorder="1" applyProtection="1"/>
    <xf numFmtId="9" fontId="23" fillId="0" borderId="25" xfId="0" applyNumberFormat="1" applyFont="1" applyBorder="1" applyProtection="1"/>
    <xf numFmtId="9" fontId="18" fillId="0" borderId="25" xfId="0" applyNumberFormat="1" applyFont="1" applyBorder="1" applyAlignment="1" applyProtection="1">
      <alignment horizontal="center"/>
    </xf>
    <xf numFmtId="4" fontId="0" fillId="0" borderId="25" xfId="0" applyNumberFormat="1" applyBorder="1"/>
    <xf numFmtId="9" fontId="23" fillId="0" borderId="119" xfId="0" applyNumberFormat="1" applyFont="1" applyBorder="1" applyProtection="1"/>
    <xf numFmtId="164" fontId="4" fillId="0" borderId="25" xfId="0" applyNumberFormat="1" applyFont="1" applyBorder="1" applyProtection="1"/>
    <xf numFmtId="164" fontId="4" fillId="0" borderId="25" xfId="0" applyNumberFormat="1" applyFont="1" applyBorder="1" applyAlignment="1" applyProtection="1">
      <alignment horizontal="left"/>
    </xf>
    <xf numFmtId="164" fontId="4" fillId="0" borderId="119" xfId="0" applyNumberFormat="1" applyFont="1" applyBorder="1" applyAlignment="1" applyProtection="1">
      <alignment horizontal="left"/>
    </xf>
    <xf numFmtId="4" fontId="3" fillId="0" borderId="0" xfId="0" applyNumberFormat="1" applyFont="1" applyBorder="1" applyProtection="1"/>
    <xf numFmtId="3" fontId="23" fillId="0" borderId="0" xfId="0" applyNumberFormat="1" applyFont="1" applyAlignment="1" applyProtection="1"/>
    <xf numFmtId="1" fontId="0" fillId="0" borderId="62" xfId="0" applyNumberFormat="1" applyBorder="1"/>
    <xf numFmtId="0" fontId="0" fillId="0" borderId="62" xfId="0" quotePrefix="1" applyBorder="1" applyAlignment="1">
      <alignment horizontal="left"/>
    </xf>
    <xf numFmtId="1" fontId="0" fillId="0" borderId="25" xfId="0" applyNumberFormat="1" applyBorder="1"/>
    <xf numFmtId="0" fontId="0" fillId="0" borderId="25" xfId="0" quotePrefix="1" applyBorder="1" applyAlignment="1">
      <alignment horizontal="left"/>
    </xf>
    <xf numFmtId="0" fontId="17" fillId="0" borderId="25" xfId="0" applyFont="1" applyBorder="1"/>
    <xf numFmtId="164" fontId="3" fillId="3" borderId="0" xfId="1" applyFont="1" applyFill="1"/>
    <xf numFmtId="9" fontId="23" fillId="0" borderId="0" xfId="4" applyFont="1" applyAlignment="1" applyProtection="1"/>
    <xf numFmtId="3" fontId="44" fillId="0" borderId="0" xfId="0" applyNumberFormat="1" applyFont="1" applyAlignment="1" applyProtection="1"/>
    <xf numFmtId="1" fontId="44" fillId="0" borderId="0" xfId="0" applyNumberFormat="1" applyFont="1" applyAlignment="1" applyProtection="1"/>
    <xf numFmtId="4" fontId="44" fillId="0" borderId="0" xfId="0" applyNumberFormat="1" applyFont="1" applyProtection="1"/>
    <xf numFmtId="4" fontId="23" fillId="0" borderId="0" xfId="0" applyNumberFormat="1" applyFont="1" applyAlignment="1" applyProtection="1"/>
    <xf numFmtId="4" fontId="23" fillId="0" borderId="0" xfId="0" applyNumberFormat="1" applyFont="1" applyAlignment="1"/>
    <xf numFmtId="189" fontId="23" fillId="0" borderId="0" xfId="0" applyNumberFormat="1" applyFont="1" applyAlignment="1" applyProtection="1">
      <alignment horizontal="left"/>
    </xf>
    <xf numFmtId="164" fontId="45" fillId="0" borderId="0" xfId="0" applyNumberFormat="1" applyFont="1" applyAlignment="1" applyProtection="1">
      <alignment horizontal="left"/>
    </xf>
    <xf numFmtId="0" fontId="53" fillId="0" borderId="0" xfId="0" applyFont="1" applyBorder="1"/>
    <xf numFmtId="0" fontId="0" fillId="0" borderId="0" xfId="0" quotePrefix="1" applyFill="1" applyAlignment="1" applyProtection="1">
      <alignment vertical="top"/>
      <protection locked="0"/>
    </xf>
    <xf numFmtId="164" fontId="3" fillId="0" borderId="27" xfId="0" applyNumberFormat="1" applyFont="1" applyBorder="1" applyProtection="1"/>
    <xf numFmtId="0" fontId="3" fillId="0" borderId="27" xfId="0" applyFont="1" applyBorder="1"/>
    <xf numFmtId="0" fontId="3" fillId="0" borderId="25" xfId="0" applyFont="1" applyBorder="1"/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right"/>
    </xf>
    <xf numFmtId="9" fontId="3" fillId="0" borderId="0" xfId="0" applyNumberFormat="1" applyFont="1"/>
    <xf numFmtId="0" fontId="3" fillId="0" borderId="0" xfId="0" applyNumberFormat="1" applyFont="1"/>
    <xf numFmtId="164" fontId="3" fillId="0" borderId="25" xfId="0" applyNumberFormat="1" applyFont="1" applyBorder="1" applyProtection="1"/>
    <xf numFmtId="0" fontId="3" fillId="0" borderId="0" xfId="0" quotePrefix="1" applyNumberFormat="1" applyFont="1" applyBorder="1" applyAlignment="1" applyProtection="1">
      <alignment horizontal="right"/>
    </xf>
    <xf numFmtId="0" fontId="3" fillId="0" borderId="0" xfId="0" applyNumberFormat="1" applyFont="1" applyBorder="1" applyProtection="1"/>
    <xf numFmtId="0" fontId="3" fillId="0" borderId="0" xfId="4" applyNumberFormat="1" applyFont="1" applyBorder="1" applyProtection="1"/>
    <xf numFmtId="0" fontId="3" fillId="0" borderId="0" xfId="0" applyNumberFormat="1" applyFont="1" applyAlignment="1">
      <alignment horizontal="right"/>
    </xf>
    <xf numFmtId="0" fontId="3" fillId="0" borderId="20" xfId="0" applyNumberFormat="1" applyFont="1" applyBorder="1" applyProtection="1"/>
    <xf numFmtId="164" fontId="3" fillId="0" borderId="22" xfId="0" applyNumberFormat="1" applyFont="1" applyBorder="1" applyProtection="1"/>
    <xf numFmtId="0" fontId="3" fillId="0" borderId="23" xfId="0" quotePrefix="1" applyNumberFormat="1" applyFont="1" applyBorder="1" applyAlignment="1" applyProtection="1">
      <alignment horizontal="left"/>
    </xf>
    <xf numFmtId="0" fontId="3" fillId="0" borderId="23" xfId="0" applyNumberFormat="1" applyFont="1" applyBorder="1" applyProtection="1"/>
    <xf numFmtId="0" fontId="3" fillId="0" borderId="23" xfId="0" applyNumberFormat="1" applyFont="1" applyBorder="1" applyAlignment="1" applyProtection="1">
      <alignment horizontal="left"/>
    </xf>
    <xf numFmtId="0" fontId="3" fillId="0" borderId="117" xfId="0" applyNumberFormat="1" applyFont="1" applyBorder="1" applyAlignment="1" applyProtection="1">
      <alignment horizontal="left"/>
    </xf>
    <xf numFmtId="164" fontId="3" fillId="0" borderId="4" xfId="0" applyNumberFormat="1" applyFont="1" applyBorder="1" applyAlignment="1" applyProtection="1">
      <alignment horizontal="left"/>
    </xf>
    <xf numFmtId="164" fontId="3" fillId="0" borderId="19" xfId="0" applyNumberFormat="1" applyFont="1" applyBorder="1" applyAlignment="1" applyProtection="1">
      <alignment horizontal="left"/>
    </xf>
    <xf numFmtId="164" fontId="3" fillId="0" borderId="19" xfId="0" applyNumberFormat="1" applyFont="1" applyBorder="1" applyProtection="1"/>
    <xf numFmtId="164" fontId="3" fillId="0" borderId="62" xfId="0" applyNumberFormat="1" applyFont="1" applyBorder="1" applyProtection="1"/>
    <xf numFmtId="164" fontId="3" fillId="0" borderId="120" xfId="0" applyNumberFormat="1" applyFont="1" applyBorder="1" applyAlignment="1" applyProtection="1">
      <alignment horizontal="left"/>
    </xf>
    <xf numFmtId="166" fontId="3" fillId="0" borderId="0" xfId="0" applyNumberFormat="1" applyFont="1" applyBorder="1" applyProtection="1"/>
    <xf numFmtId="0" fontId="3" fillId="0" borderId="62" xfId="0" applyFont="1" applyBorder="1"/>
    <xf numFmtId="164" fontId="3" fillId="0" borderId="68" xfId="0" applyNumberFormat="1" applyFont="1" applyBorder="1" applyAlignment="1" applyProtection="1">
      <alignment horizontal="left"/>
    </xf>
    <xf numFmtId="164" fontId="3" fillId="0" borderId="4" xfId="0" applyNumberFormat="1" applyFont="1" applyBorder="1" applyProtection="1"/>
    <xf numFmtId="1" fontId="3" fillId="0" borderId="0" xfId="0" applyNumberFormat="1" applyFont="1" applyAlignment="1" applyProtection="1"/>
    <xf numFmtId="4" fontId="3" fillId="0" borderId="0" xfId="0" applyNumberFormat="1" applyFont="1" applyAlignment="1"/>
    <xf numFmtId="0" fontId="3" fillId="0" borderId="74" xfId="0" applyFont="1" applyBorder="1"/>
    <xf numFmtId="0" fontId="3" fillId="0" borderId="76" xfId="0" applyFont="1" applyBorder="1"/>
    <xf numFmtId="0" fontId="3" fillId="0" borderId="70" xfId="0" applyFont="1" applyBorder="1"/>
    <xf numFmtId="0" fontId="3" fillId="0" borderId="82" xfId="0" applyFont="1" applyBorder="1"/>
    <xf numFmtId="0" fontId="3" fillId="0" borderId="84" xfId="0" applyFont="1" applyBorder="1"/>
    <xf numFmtId="0" fontId="3" fillId="0" borderId="90" xfId="0" applyFont="1" applyBorder="1"/>
    <xf numFmtId="0" fontId="3" fillId="0" borderId="91" xfId="0" applyFont="1" applyBorder="1"/>
    <xf numFmtId="0" fontId="3" fillId="0" borderId="17" xfId="0" applyFont="1" applyBorder="1"/>
    <xf numFmtId="0" fontId="3" fillId="0" borderId="58" xfId="0" applyFont="1" applyBorder="1" applyAlignment="1">
      <alignment horizontal="center"/>
    </xf>
    <xf numFmtId="0" fontId="3" fillId="2" borderId="50" xfId="0" applyFont="1" applyFill="1" applyBorder="1" applyAlignment="1">
      <alignment horizontal="center"/>
    </xf>
    <xf numFmtId="9" fontId="3" fillId="2" borderId="51" xfId="4" applyFont="1" applyFill="1" applyBorder="1" applyAlignment="1">
      <alignment horizontal="center"/>
    </xf>
    <xf numFmtId="0" fontId="3" fillId="0" borderId="13" xfId="0" applyFont="1" applyBorder="1"/>
    <xf numFmtId="9" fontId="3" fillId="2" borderId="14" xfId="0" applyNumberFormat="1" applyFont="1" applyFill="1" applyBorder="1" applyAlignment="1">
      <alignment horizontal="center"/>
    </xf>
    <xf numFmtId="0" fontId="3" fillId="0" borderId="15" xfId="0" applyFont="1" applyBorder="1"/>
    <xf numFmtId="0" fontId="3" fillId="0" borderId="25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7" xfId="0" applyFont="1" applyBorder="1" applyAlignment="1">
      <alignment horizontal="right"/>
    </xf>
    <xf numFmtId="9" fontId="3" fillId="0" borderId="0" xfId="0" applyNumberFormat="1" applyFont="1" applyAlignment="1">
      <alignment horizontal="center"/>
    </xf>
    <xf numFmtId="165" fontId="3" fillId="0" borderId="0" xfId="0" applyNumberFormat="1" applyFont="1"/>
    <xf numFmtId="0" fontId="3" fillId="0" borderId="14" xfId="0" applyFont="1" applyBorder="1"/>
    <xf numFmtId="3" fontId="3" fillId="0" borderId="14" xfId="0" applyNumberFormat="1" applyFont="1" applyBorder="1"/>
    <xf numFmtId="192" fontId="3" fillId="0" borderId="0" xfId="0" applyNumberFormat="1" applyFont="1" applyBorder="1" applyProtection="1"/>
    <xf numFmtId="164" fontId="4" fillId="0" borderId="121" xfId="0" applyNumberFormat="1" applyFont="1" applyBorder="1" applyAlignment="1" applyProtection="1">
      <alignment horizontal="left"/>
    </xf>
    <xf numFmtId="164" fontId="4" fillId="0" borderId="122" xfId="0" applyNumberFormat="1" applyFont="1" applyBorder="1" applyProtection="1"/>
    <xf numFmtId="164" fontId="3" fillId="0" borderId="122" xfId="0" applyNumberFormat="1" applyFont="1" applyBorder="1" applyProtection="1"/>
    <xf numFmtId="164" fontId="4" fillId="5" borderId="122" xfId="0" applyNumberFormat="1" applyFont="1" applyFill="1" applyBorder="1" applyAlignment="1" applyProtection="1">
      <alignment horizontal="left"/>
    </xf>
    <xf numFmtId="164" fontId="4" fillId="0" borderId="123" xfId="0" applyNumberFormat="1" applyFont="1" applyBorder="1" applyAlignment="1" applyProtection="1">
      <alignment horizontal="left"/>
    </xf>
    <xf numFmtId="164" fontId="4" fillId="0" borderId="124" xfId="0" applyNumberFormat="1" applyFont="1" applyBorder="1" applyAlignment="1" applyProtection="1">
      <alignment horizontal="left"/>
    </xf>
    <xf numFmtId="164" fontId="4" fillId="0" borderId="74" xfId="0" applyNumberFormat="1" applyFont="1" applyBorder="1" applyProtection="1"/>
    <xf numFmtId="164" fontId="3" fillId="0" borderId="74" xfId="0" applyNumberFormat="1" applyFont="1" applyBorder="1" applyProtection="1"/>
    <xf numFmtId="164" fontId="4" fillId="0" borderId="74" xfId="0" applyNumberFormat="1" applyFont="1" applyBorder="1" applyAlignment="1" applyProtection="1">
      <alignment horizontal="left"/>
    </xf>
    <xf numFmtId="164" fontId="4" fillId="0" borderId="125" xfId="0" applyNumberFormat="1" applyFont="1" applyBorder="1" applyAlignment="1" applyProtection="1">
      <alignment horizontal="left"/>
    </xf>
    <xf numFmtId="164" fontId="4" fillId="5" borderId="74" xfId="0" applyNumberFormat="1" applyFont="1" applyFill="1" applyBorder="1" applyAlignment="1" applyProtection="1">
      <alignment horizontal="left"/>
    </xf>
    <xf numFmtId="164" fontId="4" fillId="0" borderId="126" xfId="0" applyNumberFormat="1" applyFont="1" applyBorder="1" applyAlignment="1" applyProtection="1">
      <alignment horizontal="left"/>
    </xf>
    <xf numFmtId="164" fontId="4" fillId="0" borderId="82" xfId="0" applyNumberFormat="1" applyFont="1" applyBorder="1" applyProtection="1"/>
    <xf numFmtId="164" fontId="3" fillId="0" borderId="82" xfId="0" applyNumberFormat="1" applyFont="1" applyBorder="1" applyProtection="1"/>
    <xf numFmtId="164" fontId="4" fillId="0" borderId="82" xfId="0" applyNumberFormat="1" applyFont="1" applyBorder="1" applyAlignment="1" applyProtection="1">
      <alignment horizontal="left"/>
    </xf>
    <xf numFmtId="164" fontId="4" fillId="0" borderId="127" xfId="0" applyNumberFormat="1" applyFont="1" applyBorder="1" applyAlignment="1" applyProtection="1">
      <alignment horizontal="left"/>
    </xf>
    <xf numFmtId="190" fontId="3" fillId="0" borderId="62" xfId="0" quotePrefix="1" applyNumberFormat="1" applyFont="1" applyBorder="1" applyAlignment="1" applyProtection="1">
      <alignment horizontal="right"/>
    </xf>
    <xf numFmtId="9" fontId="3" fillId="0" borderId="62" xfId="4" applyFont="1" applyBorder="1" applyProtection="1"/>
    <xf numFmtId="9" fontId="3" fillId="0" borderId="62" xfId="0" applyNumberFormat="1" applyFont="1" applyBorder="1" applyProtection="1"/>
    <xf numFmtId="9" fontId="18" fillId="0" borderId="62" xfId="0" applyNumberFormat="1" applyFont="1" applyBorder="1" applyProtection="1"/>
    <xf numFmtId="3" fontId="4" fillId="0" borderId="62" xfId="0" applyNumberFormat="1" applyFont="1" applyBorder="1" applyProtection="1"/>
    <xf numFmtId="9" fontId="18" fillId="0" borderId="62" xfId="0" applyNumberFormat="1" applyFont="1" applyBorder="1" applyAlignment="1" applyProtection="1">
      <alignment horizontal="center"/>
    </xf>
    <xf numFmtId="4" fontId="44" fillId="2" borderId="62" xfId="0" applyNumberFormat="1" applyFont="1" applyFill="1" applyBorder="1" applyProtection="1"/>
    <xf numFmtId="9" fontId="3" fillId="0" borderId="128" xfId="0" applyNumberFormat="1" applyFont="1" applyBorder="1" applyProtection="1"/>
    <xf numFmtId="0" fontId="0" fillId="0" borderId="82" xfId="0" applyBorder="1"/>
    <xf numFmtId="190" fontId="3" fillId="0" borderId="82" xfId="0" quotePrefix="1" applyNumberFormat="1" applyFont="1" applyBorder="1" applyAlignment="1" applyProtection="1">
      <alignment horizontal="right"/>
    </xf>
    <xf numFmtId="191" fontId="3" fillId="0" borderId="82" xfId="4" applyNumberFormat="1" applyFont="1" applyBorder="1" applyProtection="1"/>
    <xf numFmtId="9" fontId="3" fillId="0" borderId="82" xfId="0" applyNumberFormat="1" applyFont="1" applyBorder="1" applyProtection="1"/>
    <xf numFmtId="0" fontId="3" fillId="0" borderId="82" xfId="0" applyFont="1" applyBorder="1" applyAlignment="1">
      <alignment horizontal="right"/>
    </xf>
    <xf numFmtId="4" fontId="44" fillId="2" borderId="82" xfId="0" applyNumberFormat="1" applyFont="1" applyFill="1" applyBorder="1" applyAlignment="1" applyProtection="1">
      <alignment horizontal="center"/>
    </xf>
    <xf numFmtId="9" fontId="18" fillId="0" borderId="82" xfId="0" applyNumberFormat="1" applyFont="1" applyBorder="1" applyAlignment="1" applyProtection="1">
      <alignment horizontal="center"/>
    </xf>
    <xf numFmtId="192" fontId="0" fillId="0" borderId="82" xfId="0" applyNumberFormat="1" applyBorder="1"/>
    <xf numFmtId="9" fontId="3" fillId="0" borderId="127" xfId="0" applyNumberFormat="1" applyFont="1" applyBorder="1" applyProtection="1"/>
    <xf numFmtId="0" fontId="0" fillId="0" borderId="62" xfId="0" applyNumberFormat="1" applyBorder="1"/>
    <xf numFmtId="0" fontId="3" fillId="0" borderId="62" xfId="0" quotePrefix="1" applyNumberFormat="1" applyFont="1" applyBorder="1" applyAlignment="1" applyProtection="1">
      <alignment horizontal="right"/>
    </xf>
    <xf numFmtId="0" fontId="44" fillId="2" borderId="62" xfId="0" applyNumberFormat="1" applyFont="1" applyFill="1" applyBorder="1" applyProtection="1"/>
    <xf numFmtId="0" fontId="3" fillId="0" borderId="62" xfId="4" applyNumberFormat="1" applyFont="1" applyBorder="1" applyProtection="1"/>
    <xf numFmtId="0" fontId="3" fillId="0" borderId="62" xfId="0" applyNumberFormat="1" applyFont="1" applyBorder="1"/>
    <xf numFmtId="192" fontId="3" fillId="0" borderId="62" xfId="0" applyNumberFormat="1" applyFont="1" applyBorder="1"/>
    <xf numFmtId="0" fontId="3" fillId="0" borderId="128" xfId="0" applyNumberFormat="1" applyFont="1" applyBorder="1" applyProtection="1"/>
    <xf numFmtId="0" fontId="0" fillId="0" borderId="74" xfId="0" applyNumberFormat="1" applyFill="1" applyBorder="1"/>
    <xf numFmtId="0" fontId="0" fillId="0" borderId="74" xfId="0" applyNumberFormat="1" applyBorder="1"/>
    <xf numFmtId="0" fontId="3" fillId="0" borderId="74" xfId="0" quotePrefix="1" applyNumberFormat="1" applyFont="1" applyBorder="1" applyAlignment="1" applyProtection="1">
      <alignment horizontal="right"/>
    </xf>
    <xf numFmtId="0" fontId="44" fillId="2" borderId="74" xfId="0" applyNumberFormat="1" applyFont="1" applyFill="1" applyBorder="1" applyProtection="1"/>
    <xf numFmtId="0" fontId="3" fillId="0" borderId="74" xfId="4" applyNumberFormat="1" applyFont="1" applyBorder="1" applyProtection="1"/>
    <xf numFmtId="0" fontId="3" fillId="0" borderId="74" xfId="0" applyNumberFormat="1" applyFont="1" applyBorder="1"/>
    <xf numFmtId="192" fontId="3" fillId="0" borderId="74" xfId="0" applyNumberFormat="1" applyFont="1" applyBorder="1"/>
    <xf numFmtId="0" fontId="3" fillId="0" borderId="125" xfId="0" applyNumberFormat="1" applyFont="1" applyBorder="1" applyProtection="1"/>
    <xf numFmtId="164" fontId="3" fillId="0" borderId="129" xfId="0" applyNumberFormat="1" applyFont="1" applyBorder="1" applyAlignment="1" applyProtection="1">
      <alignment horizontal="left"/>
    </xf>
    <xf numFmtId="164" fontId="3" fillId="0" borderId="130" xfId="0" applyNumberFormat="1" applyFont="1" applyBorder="1" applyAlignment="1" applyProtection="1">
      <alignment horizontal="left"/>
    </xf>
    <xf numFmtId="164" fontId="4" fillId="0" borderId="120" xfId="0" applyNumberFormat="1" applyFont="1" applyBorder="1" applyAlignment="1" applyProtection="1">
      <alignment horizontal="left"/>
    </xf>
    <xf numFmtId="164" fontId="3" fillId="0" borderId="131" xfId="0" applyNumberFormat="1" applyFont="1" applyBorder="1" applyAlignment="1" applyProtection="1">
      <alignment horizontal="left"/>
    </xf>
    <xf numFmtId="164" fontId="4" fillId="0" borderId="132" xfId="0" applyNumberFormat="1" applyFont="1" applyBorder="1" applyAlignment="1" applyProtection="1">
      <alignment horizontal="left"/>
    </xf>
    <xf numFmtId="164" fontId="4" fillId="0" borderId="133" xfId="0" applyNumberFormat="1" applyFont="1" applyBorder="1" applyProtection="1"/>
    <xf numFmtId="164" fontId="4" fillId="0" borderId="134" xfId="0" applyNumberFormat="1" applyFont="1" applyBorder="1" applyAlignment="1" applyProtection="1">
      <alignment horizontal="left"/>
    </xf>
    <xf numFmtId="164" fontId="3" fillId="0" borderId="96" xfId="0" applyNumberFormat="1" applyFont="1" applyBorder="1" applyAlignment="1" applyProtection="1">
      <alignment horizontal="left"/>
    </xf>
    <xf numFmtId="164" fontId="3" fillId="0" borderId="135" xfId="0" applyNumberFormat="1" applyFont="1" applyBorder="1" applyAlignment="1" applyProtection="1">
      <alignment horizontal="left"/>
    </xf>
    <xf numFmtId="164" fontId="4" fillId="0" borderId="96" xfId="0" applyNumberFormat="1" applyFont="1" applyBorder="1" applyAlignment="1" applyProtection="1">
      <alignment horizontal="left"/>
    </xf>
    <xf numFmtId="164" fontId="5" fillId="0" borderId="23" xfId="0" applyNumberFormat="1" applyFont="1" applyBorder="1" applyProtection="1"/>
    <xf numFmtId="164" fontId="3" fillId="0" borderId="136" xfId="0" applyNumberFormat="1" applyFont="1" applyBorder="1" applyAlignment="1" applyProtection="1">
      <alignment horizontal="left"/>
    </xf>
    <xf numFmtId="164" fontId="4" fillId="0" borderId="137" xfId="0" applyNumberFormat="1" applyFont="1" applyBorder="1" applyAlignment="1" applyProtection="1">
      <alignment horizontal="left"/>
    </xf>
    <xf numFmtId="164" fontId="4" fillId="0" borderId="62" xfId="0" applyNumberFormat="1" applyFont="1" applyBorder="1" applyProtection="1"/>
    <xf numFmtId="164" fontId="22" fillId="0" borderId="0" xfId="0" applyNumberFormat="1" applyFont="1" applyProtection="1"/>
    <xf numFmtId="164" fontId="3" fillId="0" borderId="89" xfId="0" applyNumberFormat="1" applyFont="1" applyBorder="1" applyAlignment="1" applyProtection="1">
      <alignment horizontal="left"/>
    </xf>
    <xf numFmtId="164" fontId="3" fillId="0" borderId="90" xfId="0" applyNumberFormat="1" applyFont="1" applyBorder="1" applyProtection="1"/>
    <xf numFmtId="0" fontId="0" fillId="0" borderId="90" xfId="0" applyBorder="1"/>
    <xf numFmtId="164" fontId="3" fillId="0" borderId="90" xfId="0" applyNumberFormat="1" applyFont="1" applyBorder="1" applyAlignment="1" applyProtection="1">
      <alignment horizontal="left"/>
    </xf>
    <xf numFmtId="164" fontId="3" fillId="0" borderId="73" xfId="0" applyNumberFormat="1" applyFont="1" applyBorder="1" applyAlignment="1" applyProtection="1">
      <alignment horizontal="left"/>
    </xf>
    <xf numFmtId="0" fontId="0" fillId="0" borderId="74" xfId="0" applyBorder="1"/>
    <xf numFmtId="164" fontId="3" fillId="0" borderId="74" xfId="0" applyNumberFormat="1" applyFont="1" applyBorder="1" applyAlignment="1" applyProtection="1">
      <alignment horizontal="left"/>
    </xf>
    <xf numFmtId="164" fontId="3" fillId="0" borderId="81" xfId="0" applyNumberFormat="1" applyFont="1" applyBorder="1" applyAlignment="1" applyProtection="1">
      <alignment horizontal="left"/>
    </xf>
    <xf numFmtId="164" fontId="3" fillId="0" borderId="82" xfId="0" applyNumberFormat="1" applyFont="1" applyBorder="1" applyAlignment="1" applyProtection="1">
      <alignment horizontal="left"/>
    </xf>
    <xf numFmtId="164" fontId="3" fillId="0" borderId="76" xfId="0" applyNumberFormat="1" applyFont="1" applyBorder="1" applyAlignment="1" applyProtection="1">
      <alignment horizontal="left"/>
    </xf>
    <xf numFmtId="4" fontId="3" fillId="0" borderId="81" xfId="0" applyNumberFormat="1" applyFont="1" applyBorder="1" applyProtection="1"/>
    <xf numFmtId="164" fontId="3" fillId="0" borderId="84" xfId="0" applyNumberFormat="1" applyFont="1" applyBorder="1" applyAlignment="1" applyProtection="1">
      <alignment horizontal="left"/>
    </xf>
    <xf numFmtId="164" fontId="3" fillId="0" borderId="61" xfId="0" applyNumberFormat="1" applyFont="1" applyBorder="1" applyAlignment="1" applyProtection="1">
      <alignment horizontal="left"/>
    </xf>
    <xf numFmtId="164" fontId="3" fillId="0" borderId="81" xfId="0" quotePrefix="1" applyNumberFormat="1" applyFont="1" applyBorder="1" applyAlignment="1" applyProtection="1">
      <alignment horizontal="left"/>
    </xf>
    <xf numFmtId="1" fontId="3" fillId="0" borderId="82" xfId="0" applyNumberFormat="1" applyFont="1" applyBorder="1" applyAlignment="1" applyProtection="1"/>
    <xf numFmtId="1" fontId="3" fillId="0" borderId="90" xfId="0" applyNumberFormat="1" applyFont="1" applyBorder="1" applyAlignment="1" applyProtection="1"/>
    <xf numFmtId="0" fontId="0" fillId="0" borderId="82" xfId="0" applyNumberFormat="1" applyFill="1" applyBorder="1"/>
    <xf numFmtId="0" fontId="3" fillId="0" borderId="82" xfId="4" applyNumberFormat="1" applyFont="1" applyBorder="1" applyProtection="1"/>
    <xf numFmtId="0" fontId="3" fillId="0" borderId="82" xfId="0" applyNumberFormat="1" applyFont="1" applyBorder="1"/>
    <xf numFmtId="0" fontId="3" fillId="0" borderId="82" xfId="0" applyNumberFormat="1" applyFont="1" applyBorder="1" applyAlignment="1"/>
    <xf numFmtId="0" fontId="0" fillId="0" borderId="25" xfId="0" applyNumberFormat="1" applyBorder="1"/>
    <xf numFmtId="0" fontId="3" fillId="0" borderId="25" xfId="0" quotePrefix="1" applyNumberFormat="1" applyFont="1" applyBorder="1" applyAlignment="1" applyProtection="1">
      <alignment horizontal="right"/>
    </xf>
    <xf numFmtId="164" fontId="3" fillId="0" borderId="28" xfId="0" applyNumberFormat="1" applyFont="1" applyBorder="1" applyAlignment="1" applyProtection="1">
      <alignment horizontal="left"/>
    </xf>
    <xf numFmtId="164" fontId="3" fillId="0" borderId="16" xfId="0" applyNumberFormat="1" applyFont="1" applyBorder="1" applyAlignment="1" applyProtection="1">
      <alignment horizontal="left"/>
    </xf>
    <xf numFmtId="0" fontId="3" fillId="0" borderId="62" xfId="0" applyNumberFormat="1" applyFont="1" applyBorder="1" applyAlignment="1"/>
    <xf numFmtId="164" fontId="3" fillId="0" borderId="17" xfId="0" applyNumberFormat="1" applyFont="1" applyBorder="1" applyAlignment="1" applyProtection="1">
      <alignment horizontal="left"/>
    </xf>
    <xf numFmtId="4" fontId="3" fillId="0" borderId="82" xfId="0" applyNumberFormat="1" applyFont="1" applyBorder="1" applyProtection="1"/>
    <xf numFmtId="4" fontId="44" fillId="0" borderId="82" xfId="0" applyNumberFormat="1" applyFont="1" applyBorder="1" applyProtection="1"/>
    <xf numFmtId="0" fontId="9" fillId="0" borderId="82" xfId="0" applyFont="1" applyBorder="1" applyAlignment="1">
      <alignment horizontal="right"/>
    </xf>
    <xf numFmtId="164" fontId="3" fillId="0" borderId="14" xfId="0" applyNumberFormat="1" applyFont="1" applyBorder="1" applyProtection="1"/>
    <xf numFmtId="0" fontId="0" fillId="0" borderId="14" xfId="0" applyBorder="1"/>
    <xf numFmtId="1" fontId="3" fillId="0" borderId="14" xfId="0" applyNumberFormat="1" applyFont="1" applyBorder="1" applyAlignment="1" applyProtection="1"/>
    <xf numFmtId="164" fontId="3" fillId="0" borderId="14" xfId="0" applyNumberFormat="1" applyFont="1" applyBorder="1" applyAlignment="1" applyProtection="1">
      <alignment horizontal="left"/>
    </xf>
    <xf numFmtId="191" fontId="3" fillId="0" borderId="82" xfId="4" applyNumberFormat="1" applyFont="1" applyBorder="1" applyAlignment="1" applyProtection="1"/>
    <xf numFmtId="191" fontId="3" fillId="0" borderId="74" xfId="4" applyNumberFormat="1" applyFont="1" applyBorder="1"/>
    <xf numFmtId="190" fontId="3" fillId="0" borderId="82" xfId="0" applyNumberFormat="1" applyFont="1" applyBorder="1" applyAlignment="1" applyProtection="1"/>
    <xf numFmtId="192" fontId="3" fillId="0" borderId="82" xfId="0" applyNumberFormat="1" applyFont="1" applyBorder="1" applyAlignment="1" applyProtection="1"/>
    <xf numFmtId="3" fontId="44" fillId="2" borderId="74" xfId="0" applyNumberFormat="1" applyFont="1" applyFill="1" applyBorder="1" applyAlignment="1" applyProtection="1"/>
    <xf numFmtId="1" fontId="44" fillId="2" borderId="74" xfId="0" applyNumberFormat="1" applyFont="1" applyFill="1" applyBorder="1" applyAlignment="1" applyProtection="1"/>
    <xf numFmtId="3" fontId="44" fillId="2" borderId="62" xfId="0" applyNumberFormat="1" applyFont="1" applyFill="1" applyBorder="1" applyAlignment="1" applyProtection="1"/>
    <xf numFmtId="0" fontId="52" fillId="2" borderId="84" xfId="0" applyFont="1" applyFill="1" applyBorder="1" applyAlignment="1">
      <alignment horizontal="left"/>
    </xf>
    <xf numFmtId="4" fontId="44" fillId="2" borderId="90" xfId="0" applyNumberFormat="1" applyFont="1" applyFill="1" applyBorder="1" applyProtection="1"/>
    <xf numFmtId="0" fontId="44" fillId="2" borderId="82" xfId="0" applyNumberFormat="1" applyFont="1" applyFill="1" applyBorder="1" applyProtection="1"/>
    <xf numFmtId="192" fontId="3" fillId="0" borderId="62" xfId="0" applyNumberFormat="1" applyFont="1" applyBorder="1" applyAlignment="1"/>
    <xf numFmtId="192" fontId="3" fillId="0" borderId="82" xfId="0" applyNumberFormat="1" applyFont="1" applyBorder="1" applyAlignment="1"/>
    <xf numFmtId="1" fontId="3" fillId="2" borderId="14" xfId="0" applyNumberFormat="1" applyFont="1" applyFill="1" applyBorder="1" applyAlignment="1" applyProtection="1"/>
    <xf numFmtId="1" fontId="44" fillId="2" borderId="14" xfId="0" applyNumberFormat="1" applyFont="1" applyFill="1" applyBorder="1" applyAlignment="1" applyProtection="1"/>
    <xf numFmtId="0" fontId="55" fillId="0" borderId="0" xfId="0" applyFont="1"/>
    <xf numFmtId="0" fontId="55" fillId="0" borderId="0" xfId="0" applyFont="1" applyAlignment="1">
      <alignment horizontal="left"/>
    </xf>
    <xf numFmtId="0" fontId="55" fillId="0" borderId="0" xfId="0" applyFont="1" applyAlignment="1">
      <alignment horizontal="right"/>
    </xf>
    <xf numFmtId="0" fontId="17" fillId="0" borderId="0" xfId="7" applyFont="1" applyAlignment="1">
      <alignment horizontal="left"/>
    </xf>
    <xf numFmtId="0" fontId="3" fillId="0" borderId="138" xfId="0" applyFont="1" applyBorder="1" applyAlignment="1">
      <alignment horizontal="center"/>
    </xf>
    <xf numFmtId="0" fontId="3" fillId="0" borderId="16" xfId="0" applyFont="1" applyBorder="1"/>
    <xf numFmtId="9" fontId="3" fillId="2" borderId="0" xfId="0" applyNumberFormat="1" applyFont="1" applyFill="1" applyBorder="1" applyAlignment="1">
      <alignment horizontal="center"/>
    </xf>
    <xf numFmtId="0" fontId="3" fillId="0" borderId="5" xfId="0" applyFont="1" applyBorder="1"/>
    <xf numFmtId="165" fontId="3" fillId="2" borderId="14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29" fillId="0" borderId="0" xfId="0" applyFont="1"/>
    <xf numFmtId="0" fontId="49" fillId="3" borderId="0" xfId="0" applyFont="1" applyFill="1"/>
    <xf numFmtId="0" fontId="17" fillId="0" borderId="0" xfId="0" quotePrefix="1" applyFont="1" applyAlignment="1">
      <alignment horizontal="left" vertical="center"/>
    </xf>
    <xf numFmtId="0" fontId="17" fillId="0" borderId="0" xfId="0" applyFont="1" applyAlignment="1">
      <alignment vertical="center"/>
    </xf>
    <xf numFmtId="0" fontId="5" fillId="0" borderId="0" xfId="0" applyFont="1" applyFill="1" applyBorder="1"/>
    <xf numFmtId="4" fontId="24" fillId="0" borderId="0" xfId="8" applyNumberFormat="1"/>
    <xf numFmtId="165" fontId="5" fillId="0" borderId="139" xfId="5" applyNumberFormat="1" applyFont="1" applyBorder="1" applyProtection="1"/>
    <xf numFmtId="10" fontId="5" fillId="0" borderId="140" xfId="4" applyNumberFormat="1" applyFont="1" applyBorder="1" applyAlignment="1" applyProtection="1">
      <alignment horizontal="center"/>
    </xf>
    <xf numFmtId="10" fontId="5" fillId="0" borderId="141" xfId="4" applyNumberFormat="1" applyFont="1" applyBorder="1" applyAlignment="1" applyProtection="1">
      <alignment horizontal="center"/>
    </xf>
    <xf numFmtId="10" fontId="5" fillId="0" borderId="142" xfId="4" applyNumberFormat="1" applyFont="1" applyBorder="1" applyAlignment="1" applyProtection="1">
      <alignment horizontal="center"/>
    </xf>
    <xf numFmtId="165" fontId="56" fillId="0" borderId="0" xfId="5" applyNumberFormat="1" applyFont="1" applyBorder="1" applyProtection="1"/>
    <xf numFmtId="0" fontId="57" fillId="0" borderId="0" xfId="5" applyFont="1" applyBorder="1"/>
    <xf numFmtId="10" fontId="56" fillId="0" borderId="0" xfId="4" applyNumberFormat="1" applyFont="1" applyBorder="1" applyAlignment="1" applyProtection="1">
      <alignment horizontal="center"/>
    </xf>
    <xf numFmtId="0" fontId="5" fillId="0" borderId="16" xfId="0" applyFont="1" applyBorder="1" applyAlignment="1">
      <alignment horizontal="center"/>
    </xf>
    <xf numFmtId="0" fontId="5" fillId="0" borderId="10" xfId="0" applyFont="1" applyBorder="1"/>
    <xf numFmtId="0" fontId="5" fillId="0" borderId="7" xfId="0" applyFont="1" applyBorder="1"/>
    <xf numFmtId="0" fontId="5" fillId="0" borderId="5" xfId="0" applyFont="1" applyBorder="1"/>
    <xf numFmtId="164" fontId="5" fillId="0" borderId="16" xfId="0" applyNumberFormat="1" applyFont="1" applyBorder="1" applyAlignment="1" applyProtection="1">
      <alignment horizontal="left"/>
    </xf>
    <xf numFmtId="164" fontId="5" fillId="0" borderId="17" xfId="0" applyNumberFormat="1" applyFont="1" applyBorder="1" applyAlignment="1" applyProtection="1">
      <alignment horizontal="left"/>
    </xf>
    <xf numFmtId="0" fontId="5" fillId="0" borderId="17" xfId="0" applyFont="1" applyBorder="1" applyAlignment="1">
      <alignment horizontal="center"/>
    </xf>
    <xf numFmtId="164" fontId="23" fillId="0" borderId="0" xfId="0" applyNumberFormat="1" applyFont="1" applyAlignment="1" applyProtection="1">
      <alignment horizontal="left" vertical="top"/>
    </xf>
    <xf numFmtId="0" fontId="23" fillId="0" borderId="0" xfId="0" applyFont="1" applyAlignment="1">
      <alignment vertical="top"/>
    </xf>
    <xf numFmtId="0" fontId="5" fillId="0" borderId="17" xfId="0" applyFont="1" applyBorder="1" applyAlignment="1">
      <alignment horizontal="left"/>
    </xf>
    <xf numFmtId="164" fontId="29" fillId="0" borderId="27" xfId="0" applyNumberFormat="1" applyFont="1" applyFill="1" applyBorder="1" applyAlignment="1" applyProtection="1">
      <alignment horizontal="left" vertical="top"/>
    </xf>
    <xf numFmtId="189" fontId="5" fillId="0" borderId="0" xfId="0" applyNumberFormat="1" applyFont="1" applyAlignment="1">
      <alignment horizontal="left"/>
    </xf>
    <xf numFmtId="0" fontId="23" fillId="0" borderId="14" xfId="8" applyFont="1" applyBorder="1" applyAlignment="1">
      <alignment horizontal="centerContinuous"/>
    </xf>
    <xf numFmtId="164" fontId="23" fillId="0" borderId="14" xfId="8" applyNumberFormat="1" applyFont="1" applyBorder="1" applyAlignment="1" applyProtection="1">
      <alignment horizontal="centerContinuous"/>
    </xf>
    <xf numFmtId="164" fontId="23" fillId="0" borderId="15" xfId="8" applyNumberFormat="1" applyFont="1" applyBorder="1" applyAlignment="1" applyProtection="1">
      <alignment horizontal="centerContinuous"/>
    </xf>
    <xf numFmtId="0" fontId="23" fillId="0" borderId="89" xfId="8" quotePrefix="1" applyFont="1" applyBorder="1" applyAlignment="1">
      <alignment horizontal="centerContinuous"/>
    </xf>
    <xf numFmtId="0" fontId="23" fillId="0" borderId="90" xfId="8" applyFont="1" applyBorder="1" applyAlignment="1">
      <alignment horizontal="centerContinuous"/>
    </xf>
    <xf numFmtId="164" fontId="23" fillId="0" borderId="90" xfId="8" applyNumberFormat="1" applyFont="1" applyBorder="1" applyAlignment="1" applyProtection="1">
      <alignment horizontal="centerContinuous"/>
    </xf>
    <xf numFmtId="0" fontId="23" fillId="0" borderId="91" xfId="8" applyFont="1" applyBorder="1" applyAlignment="1">
      <alignment horizontal="centerContinuous"/>
    </xf>
    <xf numFmtId="9" fontId="23" fillId="0" borderId="17" xfId="4" applyFont="1" applyBorder="1"/>
    <xf numFmtId="9" fontId="23" fillId="0" borderId="7" xfId="4" applyFont="1" applyBorder="1"/>
    <xf numFmtId="9" fontId="23" fillId="0" borderId="73" xfId="4" applyFont="1" applyBorder="1" applyAlignment="1">
      <alignment horizontal="center"/>
    </xf>
    <xf numFmtId="9" fontId="23" fillId="0" borderId="17" xfId="4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Continuous"/>
    </xf>
    <xf numFmtId="2" fontId="3" fillId="0" borderId="0" xfId="7" applyNumberFormat="1" applyFont="1"/>
    <xf numFmtId="164" fontId="5" fillId="0" borderId="0" xfId="0" applyNumberFormat="1" applyFont="1" applyAlignment="1" applyProtection="1">
      <alignment vertical="top"/>
    </xf>
    <xf numFmtId="0" fontId="0" fillId="0" borderId="0" xfId="0" applyFont="1" applyAlignment="1">
      <alignment horizontal="left"/>
    </xf>
    <xf numFmtId="0" fontId="0" fillId="0" borderId="0" xfId="0" quotePrefix="1" applyFont="1" applyAlignment="1">
      <alignment horizontal="left"/>
    </xf>
    <xf numFmtId="164" fontId="0" fillId="0" borderId="0" xfId="0" applyNumberFormat="1" applyFont="1" applyProtection="1"/>
    <xf numFmtId="164" fontId="0" fillId="0" borderId="0" xfId="0" applyNumberFormat="1" applyFont="1" applyAlignment="1" applyProtection="1">
      <alignment horizontal="left"/>
    </xf>
    <xf numFmtId="0" fontId="0" fillId="0" borderId="14" xfId="9" applyFont="1" applyBorder="1"/>
    <xf numFmtId="3" fontId="5" fillId="0" borderId="16" xfId="9" applyNumberFormat="1" applyFont="1" applyBorder="1"/>
    <xf numFmtId="3" fontId="5" fillId="0" borderId="72" xfId="9" applyNumberFormat="1" applyFont="1" applyBorder="1"/>
    <xf numFmtId="9" fontId="5" fillId="0" borderId="51" xfId="4" applyFont="1" applyBorder="1"/>
    <xf numFmtId="3" fontId="5" fillId="0" borderId="17" xfId="9" applyNumberFormat="1" applyFont="1" applyBorder="1"/>
    <xf numFmtId="3" fontId="5" fillId="0" borderId="93" xfId="9" applyNumberFormat="1" applyFont="1" applyBorder="1"/>
    <xf numFmtId="9" fontId="5" fillId="0" borderId="49" xfId="4" applyFont="1" applyBorder="1"/>
    <xf numFmtId="0" fontId="5" fillId="0" borderId="0" xfId="9" applyFont="1" applyBorder="1" applyAlignment="1">
      <alignment horizontal="right"/>
    </xf>
    <xf numFmtId="0" fontId="5" fillId="0" borderId="62" xfId="9" applyFont="1" applyBorder="1" applyAlignment="1">
      <alignment horizontal="right"/>
    </xf>
    <xf numFmtId="0" fontId="5" fillId="0" borderId="25" xfId="9" applyFont="1" applyBorder="1" applyAlignment="1">
      <alignment horizontal="right"/>
    </xf>
    <xf numFmtId="176" fontId="5" fillId="0" borderId="25" xfId="9" applyNumberFormat="1" applyFont="1" applyBorder="1"/>
    <xf numFmtId="197" fontId="9" fillId="0" borderId="25" xfId="9" applyNumberFormat="1" applyFont="1" applyBorder="1" applyAlignment="1"/>
    <xf numFmtId="3" fontId="9" fillId="0" borderId="25" xfId="9" applyNumberFormat="1" applyFont="1" applyBorder="1"/>
    <xf numFmtId="3" fontId="5" fillId="0" borderId="25" xfId="9" applyNumberFormat="1" applyFont="1" applyBorder="1"/>
    <xf numFmtId="175" fontId="5" fillId="0" borderId="25" xfId="9" applyNumberFormat="1" applyFont="1" applyBorder="1" applyAlignment="1"/>
    <xf numFmtId="175" fontId="5" fillId="0" borderId="25" xfId="9" applyNumberFormat="1" applyFont="1" applyBorder="1"/>
    <xf numFmtId="0" fontId="3" fillId="0" borderId="0" xfId="9" applyFont="1" applyAlignment="1">
      <alignment horizontal="centerContinuous"/>
    </xf>
    <xf numFmtId="164" fontId="0" fillId="0" borderId="0" xfId="0" quotePrefix="1" applyNumberFormat="1" applyFont="1" applyAlignment="1" applyProtection="1">
      <alignment horizontal="left"/>
    </xf>
    <xf numFmtId="0" fontId="0" fillId="0" borderId="0" xfId="4" applyNumberFormat="1" applyFont="1" applyBorder="1" applyProtection="1"/>
    <xf numFmtId="4" fontId="0" fillId="0" borderId="0" xfId="0" applyNumberFormat="1" applyFont="1" applyProtection="1"/>
    <xf numFmtId="0" fontId="4" fillId="0" borderId="143" xfId="0" applyNumberFormat="1" applyFont="1" applyBorder="1" applyAlignment="1" applyProtection="1">
      <alignment horizontal="center"/>
    </xf>
    <xf numFmtId="0" fontId="4" fillId="0" borderId="144" xfId="0" applyNumberFormat="1" applyFont="1" applyBorder="1" applyAlignment="1" applyProtection="1">
      <alignment horizontal="center"/>
    </xf>
    <xf numFmtId="164" fontId="23" fillId="0" borderId="145" xfId="0" applyNumberFormat="1" applyFont="1" applyBorder="1" applyAlignment="1" applyProtection="1"/>
    <xf numFmtId="164" fontId="23" fillId="0" borderId="146" xfId="0" applyNumberFormat="1" applyFont="1" applyBorder="1" applyAlignment="1" applyProtection="1"/>
    <xf numFmtId="0" fontId="23" fillId="0" borderId="145" xfId="0" applyNumberFormat="1" applyFont="1" applyBorder="1" applyAlignment="1" applyProtection="1">
      <alignment horizontal="left"/>
    </xf>
    <xf numFmtId="0" fontId="23" fillId="0" borderId="146" xfId="0" applyNumberFormat="1" applyFont="1" applyBorder="1" applyAlignment="1" applyProtection="1">
      <alignment horizontal="left"/>
    </xf>
    <xf numFmtId="0" fontId="23" fillId="0" borderId="145" xfId="0" applyNumberFormat="1" applyFont="1" applyBorder="1" applyAlignment="1" applyProtection="1"/>
    <xf numFmtId="0" fontId="23" fillId="0" borderId="146" xfId="0" applyNumberFormat="1" applyFont="1" applyBorder="1" applyAlignment="1" applyProtection="1"/>
    <xf numFmtId="3" fontId="4" fillId="0" borderId="143" xfId="0" applyNumberFormat="1" applyFont="1" applyBorder="1" applyAlignment="1" applyProtection="1"/>
    <xf numFmtId="3" fontId="4" fillId="0" borderId="143" xfId="0" applyNumberFormat="1" applyFont="1" applyBorder="1" applyAlignment="1" applyProtection="1">
      <alignment horizontal="center"/>
    </xf>
    <xf numFmtId="4" fontId="23" fillId="0" borderId="147" xfId="0" applyNumberFormat="1" applyFont="1" applyBorder="1" applyAlignment="1" applyProtection="1"/>
    <xf numFmtId="4" fontId="3" fillId="0" borderId="147" xfId="0" applyNumberFormat="1" applyFont="1" applyBorder="1" applyAlignment="1" applyProtection="1"/>
    <xf numFmtId="4" fontId="23" fillId="0" borderId="148" xfId="0" applyNumberFormat="1" applyFont="1" applyBorder="1" applyAlignment="1" applyProtection="1"/>
    <xf numFmtId="164" fontId="23" fillId="0" borderId="62" xfId="0" applyNumberFormat="1" applyFont="1" applyBorder="1" applyAlignment="1" applyProtection="1">
      <alignment horizontal="left"/>
    </xf>
    <xf numFmtId="164" fontId="4" fillId="0" borderId="23" xfId="0" applyNumberFormat="1" applyFont="1" applyBorder="1" applyAlignment="1" applyProtection="1">
      <alignment horizontal="left"/>
    </xf>
    <xf numFmtId="3" fontId="23" fillId="0" borderId="147" xfId="0" applyNumberFormat="1" applyFont="1" applyBorder="1" applyAlignment="1" applyProtection="1"/>
    <xf numFmtId="3" fontId="23" fillId="0" borderId="148" xfId="0" applyNumberFormat="1" applyFont="1" applyBorder="1" applyAlignment="1" applyProtection="1"/>
    <xf numFmtId="3" fontId="4" fillId="0" borderId="149" xfId="0" applyNumberFormat="1" applyFont="1" applyBorder="1" applyAlignment="1" applyProtection="1"/>
    <xf numFmtId="3" fontId="4" fillId="0" borderId="150" xfId="0" applyNumberFormat="1" applyFont="1" applyBorder="1" applyAlignment="1" applyProtection="1"/>
    <xf numFmtId="3" fontId="4" fillId="0" borderId="144" xfId="0" applyNumberFormat="1" applyFont="1" applyBorder="1" applyAlignment="1" applyProtection="1"/>
    <xf numFmtId="3" fontId="4" fillId="0" borderId="155" xfId="0" applyNumberFormat="1" applyFont="1" applyBorder="1" applyAlignment="1" applyProtection="1"/>
    <xf numFmtId="3" fontId="4" fillId="0" borderId="156" xfId="0" applyNumberFormat="1" applyFont="1" applyBorder="1" applyAlignment="1" applyProtection="1"/>
    <xf numFmtId="4" fontId="4" fillId="0" borderId="149" xfId="0" applyNumberFormat="1" applyFont="1" applyBorder="1" applyAlignment="1" applyProtection="1"/>
    <xf numFmtId="4" fontId="4" fillId="0" borderId="150" xfId="0" applyNumberFormat="1" applyFont="1" applyBorder="1" applyAlignment="1" applyProtection="1"/>
    <xf numFmtId="4" fontId="4" fillId="0" borderId="157" xfId="0" applyNumberFormat="1" applyFont="1" applyBorder="1" applyAlignment="1" applyProtection="1"/>
    <xf numFmtId="4" fontId="4" fillId="0" borderId="158" xfId="0" applyNumberFormat="1" applyFont="1" applyBorder="1" applyAlignment="1" applyProtection="1"/>
    <xf numFmtId="4" fontId="4" fillId="0" borderId="143" xfId="0" applyNumberFormat="1" applyFont="1" applyBorder="1" applyAlignment="1" applyProtection="1"/>
    <xf numFmtId="4" fontId="4" fillId="0" borderId="144" xfId="0" applyNumberFormat="1" applyFont="1" applyBorder="1" applyAlignment="1" applyProtection="1"/>
    <xf numFmtId="199" fontId="23" fillId="0" borderId="155" xfId="0" applyNumberFormat="1" applyFont="1" applyBorder="1" applyAlignment="1" applyProtection="1"/>
    <xf numFmtId="199" fontId="23" fillId="0" borderId="156" xfId="0" applyNumberFormat="1" applyFont="1" applyBorder="1" applyAlignment="1" applyProtection="1"/>
    <xf numFmtId="200" fontId="23" fillId="0" borderId="155" xfId="0" applyNumberFormat="1" applyFont="1" applyBorder="1" applyAlignment="1" applyProtection="1"/>
    <xf numFmtId="200" fontId="23" fillId="0" borderId="156" xfId="0" applyNumberFormat="1" applyFont="1" applyBorder="1" applyAlignment="1" applyProtection="1"/>
    <xf numFmtId="164" fontId="4" fillId="0" borderId="0" xfId="0" applyNumberFormat="1" applyFont="1" applyAlignment="1" applyProtection="1">
      <alignment horizontal="left" vertical="top"/>
    </xf>
    <xf numFmtId="0" fontId="4" fillId="0" borderId="0" xfId="0" quotePrefix="1" applyFont="1" applyFill="1" applyAlignment="1" applyProtection="1">
      <alignment horizontal="left"/>
      <protection locked="0"/>
    </xf>
    <xf numFmtId="164" fontId="3" fillId="0" borderId="91" xfId="0" applyNumberFormat="1" applyFont="1" applyBorder="1" applyAlignment="1" applyProtection="1">
      <alignment horizontal="left"/>
    </xf>
    <xf numFmtId="164" fontId="3" fillId="0" borderId="70" xfId="0" applyNumberFormat="1" applyFont="1" applyBorder="1" applyAlignment="1" applyProtection="1">
      <alignment horizontal="left"/>
    </xf>
    <xf numFmtId="4" fontId="0" fillId="0" borderId="82" xfId="0" applyNumberFormat="1" applyFont="1" applyBorder="1" applyProtection="1"/>
    <xf numFmtId="2" fontId="3" fillId="2" borderId="0" xfId="7" applyNumberFormat="1" applyFont="1" applyFill="1" applyAlignment="1" applyProtection="1">
      <alignment horizontal="right"/>
    </xf>
    <xf numFmtId="164" fontId="0" fillId="0" borderId="0" xfId="7" applyNumberFormat="1" applyFont="1" applyAlignment="1" applyProtection="1">
      <alignment horizontal="left"/>
    </xf>
    <xf numFmtId="0" fontId="0" fillId="0" borderId="0" xfId="7" applyFont="1" applyAlignment="1">
      <alignment horizontal="left"/>
    </xf>
    <xf numFmtId="0" fontId="3" fillId="2" borderId="14" xfId="0" applyNumberFormat="1" applyFont="1" applyFill="1" applyBorder="1" applyAlignment="1">
      <alignment horizontal="center"/>
    </xf>
    <xf numFmtId="0" fontId="0" fillId="0" borderId="14" xfId="0" applyFont="1" applyBorder="1"/>
    <xf numFmtId="0" fontId="0" fillId="0" borderId="14" xfId="0" applyFont="1" applyFill="1" applyBorder="1"/>
    <xf numFmtId="0" fontId="23" fillId="0" borderId="14" xfId="0" applyNumberFormat="1" applyFont="1" applyBorder="1"/>
    <xf numFmtId="0" fontId="0" fillId="0" borderId="0" xfId="9" applyFont="1" applyAlignment="1">
      <alignment horizontal="centerContinuous"/>
    </xf>
    <xf numFmtId="2" fontId="5" fillId="0" borderId="44" xfId="0" applyNumberFormat="1" applyFont="1" applyBorder="1"/>
    <xf numFmtId="2" fontId="5" fillId="0" borderId="59" xfId="0" applyNumberFormat="1" applyFont="1" applyBorder="1"/>
    <xf numFmtId="2" fontId="5" fillId="0" borderId="47" xfId="0" applyNumberFormat="1" applyFont="1" applyBorder="1"/>
    <xf numFmtId="172" fontId="23" fillId="0" borderId="0" xfId="0" applyNumberFormat="1" applyFont="1"/>
    <xf numFmtId="0" fontId="0" fillId="0" borderId="0" xfId="0" applyFont="1" applyAlignment="1">
      <alignment horizontal="center"/>
    </xf>
    <xf numFmtId="2" fontId="5" fillId="0" borderId="46" xfId="0" applyNumberFormat="1" applyFont="1" applyBorder="1"/>
    <xf numFmtId="2" fontId="5" fillId="0" borderId="51" xfId="0" applyNumberFormat="1" applyFont="1" applyBorder="1"/>
    <xf numFmtId="2" fontId="5" fillId="0" borderId="49" xfId="0" applyNumberFormat="1" applyFont="1" applyBorder="1"/>
    <xf numFmtId="9" fontId="0" fillId="0" borderId="0" xfId="4" applyFont="1" applyAlignment="1">
      <alignment horizontal="right"/>
    </xf>
    <xf numFmtId="0" fontId="22" fillId="0" borderId="28" xfId="0" applyFont="1" applyFill="1" applyBorder="1" applyAlignment="1">
      <alignment horizontal="centerContinuous" vertical="center"/>
    </xf>
    <xf numFmtId="0" fontId="0" fillId="0" borderId="27" xfId="0" applyBorder="1" applyAlignment="1">
      <alignment horizontal="centerContinuous"/>
    </xf>
    <xf numFmtId="0" fontId="22" fillId="0" borderId="27" xfId="0" applyFont="1" applyFill="1" applyBorder="1" applyAlignment="1">
      <alignment horizontal="centerContinuous"/>
    </xf>
    <xf numFmtId="0" fontId="0" fillId="0" borderId="27" xfId="0" applyFill="1" applyBorder="1" applyAlignment="1">
      <alignment horizontal="centerContinuous"/>
    </xf>
    <xf numFmtId="0" fontId="0" fillId="0" borderId="10" xfId="0" applyFill="1" applyBorder="1" applyAlignment="1">
      <alignment horizontal="centerContinuous"/>
    </xf>
    <xf numFmtId="0" fontId="0" fillId="0" borderId="16" xfId="0" applyBorder="1" applyAlignment="1">
      <alignment horizontal="centerContinuous" vertical="center"/>
    </xf>
    <xf numFmtId="0" fontId="0" fillId="0" borderId="0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22" fillId="0" borderId="28" xfId="0" applyFont="1" applyBorder="1" applyAlignment="1">
      <alignment horizontal="centerContinuous" vertical="center"/>
    </xf>
    <xf numFmtId="0" fontId="22" fillId="0" borderId="27" xfId="0" applyFont="1" applyBorder="1" applyAlignment="1">
      <alignment horizontal="centerContinuous" vertical="center"/>
    </xf>
    <xf numFmtId="0" fontId="0" fillId="0" borderId="27" xfId="0" applyBorder="1" applyAlignment="1">
      <alignment horizontal="centerContinuous" vertical="center"/>
    </xf>
    <xf numFmtId="0" fontId="0" fillId="0" borderId="2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28" xfId="0" applyFont="1" applyBorder="1" applyAlignment="1"/>
    <xf numFmtId="0" fontId="12" fillId="0" borderId="27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7" xfId="0" applyFont="1" applyBorder="1" applyAlignment="1"/>
    <xf numFmtId="0" fontId="12" fillId="0" borderId="25" xfId="0" applyFont="1" applyBorder="1" applyAlignment="1">
      <alignment horizontal="left" vertical="center"/>
    </xf>
    <xf numFmtId="0" fontId="3" fillId="0" borderId="25" xfId="0" applyFont="1" applyBorder="1" applyAlignment="1">
      <alignment vertical="center"/>
    </xf>
    <xf numFmtId="164" fontId="3" fillId="0" borderId="16" xfId="0" applyNumberFormat="1" applyFont="1" applyBorder="1" applyProtection="1"/>
    <xf numFmtId="164" fontId="3" fillId="0" borderId="5" xfId="0" applyNumberFormat="1" applyFont="1" applyBorder="1" applyProtection="1"/>
    <xf numFmtId="0" fontId="0" fillId="0" borderId="16" xfId="0" applyFont="1" applyBorder="1"/>
    <xf numFmtId="0" fontId="0" fillId="0" borderId="5" xfId="0" applyFont="1" applyBorder="1"/>
    <xf numFmtId="0" fontId="0" fillId="0" borderId="17" xfId="0" applyFont="1" applyBorder="1"/>
    <xf numFmtId="0" fontId="0" fillId="0" borderId="25" xfId="0" applyFont="1" applyBorder="1"/>
    <xf numFmtId="0" fontId="0" fillId="0" borderId="25" xfId="0" applyFont="1" applyBorder="1" applyAlignment="1">
      <alignment horizontal="fill"/>
    </xf>
    <xf numFmtId="0" fontId="0" fillId="0" borderId="25" xfId="0" quotePrefix="1" applyFont="1" applyBorder="1" applyAlignment="1">
      <alignment horizontal="fill"/>
    </xf>
    <xf numFmtId="0" fontId="0" fillId="0" borderId="25" xfId="0" quotePrefix="1" applyFont="1" applyBorder="1" applyAlignment="1">
      <alignment horizontal="right"/>
    </xf>
    <xf numFmtId="0" fontId="0" fillId="0" borderId="25" xfId="0" applyFont="1" applyBorder="1" applyAlignment="1"/>
    <xf numFmtId="0" fontId="0" fillId="0" borderId="7" xfId="0" applyFont="1" applyBorder="1"/>
    <xf numFmtId="4" fontId="0" fillId="0" borderId="0" xfId="0" applyNumberFormat="1"/>
    <xf numFmtId="0" fontId="0" fillId="0" borderId="0" xfId="0"/>
    <xf numFmtId="2" fontId="0" fillId="0" borderId="0" xfId="0" applyNumberFormat="1" applyAlignment="1"/>
    <xf numFmtId="2" fontId="0" fillId="0" borderId="0" xfId="0" applyNumberFormat="1" applyFont="1"/>
    <xf numFmtId="164" fontId="5" fillId="0" borderId="0" xfId="0" applyNumberFormat="1" applyFont="1" applyAlignment="1" applyProtection="1">
      <alignment horizontal="right"/>
    </xf>
    <xf numFmtId="4" fontId="23" fillId="0" borderId="25" xfId="0" applyNumberFormat="1" applyFont="1" applyBorder="1"/>
    <xf numFmtId="2" fontId="23" fillId="0" borderId="14" xfId="0" applyNumberFormat="1" applyFont="1" applyBorder="1"/>
    <xf numFmtId="0" fontId="0" fillId="0" borderId="14" xfId="0" quotePrefix="1" applyBorder="1" applyAlignment="1">
      <alignment horizontal="left"/>
    </xf>
    <xf numFmtId="4" fontId="23" fillId="0" borderId="14" xfId="0" applyNumberFormat="1" applyFont="1" applyBorder="1"/>
    <xf numFmtId="0" fontId="0" fillId="0" borderId="0" xfId="0" applyFont="1" applyAlignment="1">
      <alignment horizontal="right"/>
    </xf>
    <xf numFmtId="201" fontId="0" fillId="0" borderId="0" xfId="0" applyNumberFormat="1" applyFont="1"/>
    <xf numFmtId="0" fontId="0" fillId="0" borderId="0" xfId="0" applyNumberFormat="1" applyAlignment="1"/>
    <xf numFmtId="0" fontId="18" fillId="0" borderId="0" xfId="0" applyFont="1"/>
    <xf numFmtId="0" fontId="23" fillId="0" borderId="0" xfId="4" applyNumberFormat="1" applyFont="1"/>
    <xf numFmtId="0" fontId="24" fillId="5" borderId="0" xfId="8" applyNumberFormat="1" applyFill="1" applyAlignment="1">
      <alignment horizontal="center"/>
    </xf>
    <xf numFmtId="9" fontId="3" fillId="0" borderId="17" xfId="4" applyFont="1" applyBorder="1"/>
    <xf numFmtId="9" fontId="3" fillId="0" borderId="25" xfId="4" applyFont="1" applyBorder="1"/>
    <xf numFmtId="9" fontId="3" fillId="0" borderId="7" xfId="4" applyFont="1" applyBorder="1"/>
    <xf numFmtId="9" fontId="3" fillId="0" borderId="89" xfId="8" applyNumberFormat="1" applyFont="1" applyBorder="1" applyAlignment="1">
      <alignment horizontal="center"/>
    </xf>
    <xf numFmtId="192" fontId="24" fillId="0" borderId="89" xfId="8" applyNumberFormat="1" applyBorder="1" applyAlignment="1"/>
    <xf numFmtId="192" fontId="24" fillId="0" borderId="90" xfId="8" applyNumberFormat="1" applyBorder="1" applyAlignment="1"/>
    <xf numFmtId="192" fontId="3" fillId="0" borderId="90" xfId="8" applyNumberFormat="1" applyFont="1" applyBorder="1" applyAlignment="1" applyProtection="1"/>
    <xf numFmtId="192" fontId="3" fillId="0" borderId="90" xfId="8" applyNumberFormat="1" applyFont="1" applyBorder="1" applyAlignment="1"/>
    <xf numFmtId="192" fontId="3" fillId="0" borderId="91" xfId="8" applyNumberFormat="1" applyFont="1" applyBorder="1" applyAlignment="1"/>
    <xf numFmtId="9" fontId="3" fillId="0" borderId="73" xfId="4" applyFont="1" applyBorder="1" applyAlignment="1">
      <alignment horizontal="center"/>
    </xf>
    <xf numFmtId="192" fontId="24" fillId="0" borderId="73" xfId="8" quotePrefix="1" applyNumberFormat="1" applyBorder="1" applyAlignment="1"/>
    <xf numFmtId="192" fontId="24" fillId="0" borderId="74" xfId="8" applyNumberFormat="1" applyBorder="1" applyAlignment="1"/>
    <xf numFmtId="192" fontId="3" fillId="0" borderId="74" xfId="8" applyNumberFormat="1" applyFont="1" applyBorder="1" applyAlignment="1" applyProtection="1"/>
    <xf numFmtId="192" fontId="3" fillId="0" borderId="74" xfId="8" applyNumberFormat="1" applyFont="1" applyBorder="1" applyAlignment="1"/>
    <xf numFmtId="192" fontId="3" fillId="0" borderId="76" xfId="8" applyNumberFormat="1" applyFont="1" applyBorder="1" applyAlignment="1"/>
    <xf numFmtId="192" fontId="24" fillId="0" borderId="74" xfId="8" quotePrefix="1" applyNumberFormat="1" applyBorder="1" applyAlignment="1"/>
    <xf numFmtId="9" fontId="3" fillId="0" borderId="17" xfId="4" applyFont="1" applyBorder="1" applyAlignment="1">
      <alignment horizontal="center"/>
    </xf>
    <xf numFmtId="192" fontId="24" fillId="0" borderId="17" xfId="8" applyNumberFormat="1" applyBorder="1" applyAlignment="1"/>
    <xf numFmtId="192" fontId="24" fillId="0" borderId="25" xfId="8" applyNumberFormat="1" applyBorder="1" applyAlignment="1"/>
    <xf numFmtId="192" fontId="3" fillId="0" borderId="25" xfId="8" applyNumberFormat="1" applyFont="1" applyBorder="1" applyAlignment="1" applyProtection="1"/>
    <xf numFmtId="192" fontId="3" fillId="0" borderId="25" xfId="8" applyNumberFormat="1" applyFont="1" applyBorder="1" applyAlignment="1"/>
    <xf numFmtId="192" fontId="3" fillId="0" borderId="7" xfId="8" applyNumberFormat="1" applyFont="1" applyBorder="1" applyAlignment="1"/>
    <xf numFmtId="0" fontId="0" fillId="0" borderId="0" xfId="8" applyFont="1" applyAlignment="1">
      <alignment horizontal="right"/>
    </xf>
    <xf numFmtId="9" fontId="23" fillId="0" borderId="89" xfId="8" applyNumberFormat="1" applyFont="1" applyBorder="1" applyAlignment="1">
      <alignment horizontal="center"/>
    </xf>
    <xf numFmtId="0" fontId="0" fillId="5" borderId="0" xfId="8" applyNumberFormat="1" applyFont="1" applyFill="1" applyAlignment="1">
      <alignment horizontal="center"/>
    </xf>
    <xf numFmtId="202" fontId="24" fillId="0" borderId="89" xfId="8" applyNumberFormat="1" applyBorder="1" applyAlignment="1"/>
    <xf numFmtId="202" fontId="23" fillId="0" borderId="90" xfId="8" applyNumberFormat="1" applyFont="1" applyBorder="1"/>
    <xf numFmtId="202" fontId="23" fillId="0" borderId="90" xfId="8" applyNumberFormat="1" applyFont="1" applyBorder="1" applyProtection="1"/>
    <xf numFmtId="202" fontId="23" fillId="0" borderId="91" xfId="8" applyNumberFormat="1" applyFont="1" applyBorder="1"/>
    <xf numFmtId="202" fontId="23" fillId="0" borderId="73" xfId="8" quotePrefix="1" applyNumberFormat="1" applyFont="1" applyBorder="1" applyAlignment="1">
      <alignment horizontal="fill"/>
    </xf>
    <xf numFmtId="202" fontId="23" fillId="0" borderId="74" xfId="8" applyNumberFormat="1" applyFont="1" applyBorder="1"/>
    <xf numFmtId="202" fontId="23" fillId="0" borderId="74" xfId="8" applyNumberFormat="1" applyFont="1" applyBorder="1" applyProtection="1"/>
    <xf numFmtId="202" fontId="23" fillId="0" borderId="76" xfId="8" applyNumberFormat="1" applyFont="1" applyBorder="1"/>
    <xf numFmtId="202" fontId="23" fillId="0" borderId="74" xfId="8" quotePrefix="1" applyNumberFormat="1" applyFont="1" applyBorder="1" applyAlignment="1">
      <alignment horizontal="fill"/>
    </xf>
    <xf numFmtId="202" fontId="23" fillId="0" borderId="17" xfId="8" applyNumberFormat="1" applyFont="1" applyBorder="1"/>
    <xf numFmtId="202" fontId="23" fillId="0" borderId="25" xfId="8" applyNumberFormat="1" applyFont="1" applyBorder="1"/>
    <xf numFmtId="202" fontId="23" fillId="0" borderId="25" xfId="8" applyNumberFormat="1" applyFont="1" applyBorder="1" applyProtection="1"/>
    <xf numFmtId="202" fontId="23" fillId="0" borderId="7" xfId="8" applyNumberFormat="1" applyFont="1" applyBorder="1"/>
    <xf numFmtId="202" fontId="52" fillId="0" borderId="0" xfId="0" applyNumberFormat="1" applyFont="1" applyAlignment="1">
      <alignment horizontal="left"/>
    </xf>
    <xf numFmtId="1" fontId="0" fillId="0" borderId="0" xfId="0" applyNumberFormat="1"/>
    <xf numFmtId="0" fontId="0" fillId="0" borderId="0" xfId="0"/>
    <xf numFmtId="0" fontId="0" fillId="0" borderId="0" xfId="0" applyFont="1" applyAlignment="1"/>
    <xf numFmtId="0" fontId="0" fillId="0" borderId="0" xfId="0" applyNumberFormat="1" applyFont="1"/>
    <xf numFmtId="0" fontId="5" fillId="0" borderId="159" xfId="0" applyFont="1" applyBorder="1" applyAlignment="1">
      <alignment horizontal="centerContinuous"/>
    </xf>
    <xf numFmtId="0" fontId="5" fillId="0" borderId="159" xfId="0" applyFont="1" applyBorder="1"/>
    <xf numFmtId="0" fontId="5" fillId="0" borderId="160" xfId="0" applyFont="1" applyBorder="1"/>
    <xf numFmtId="0" fontId="5" fillId="0" borderId="161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 applyAlignment="1">
      <alignment horizontal="left"/>
    </xf>
    <xf numFmtId="0" fontId="5" fillId="0" borderId="160" xfId="0" applyFont="1" applyBorder="1" applyAlignment="1">
      <alignment horizontal="centerContinuous"/>
    </xf>
    <xf numFmtId="0" fontId="5" fillId="0" borderId="161" xfId="0" applyFont="1" applyBorder="1" applyAlignment="1">
      <alignment horizontal="center"/>
    </xf>
    <xf numFmtId="0" fontId="5" fillId="0" borderId="0" xfId="0" applyFont="1" applyAlignment="1">
      <alignment horizontal="right" vertical="top"/>
    </xf>
    <xf numFmtId="165" fontId="5" fillId="0" borderId="0" xfId="0" applyNumberFormat="1" applyFont="1" applyAlignment="1">
      <alignment horizontal="left" vertical="top"/>
    </xf>
    <xf numFmtId="0" fontId="29" fillId="0" borderId="0" xfId="0" applyFont="1" applyAlignment="1">
      <alignment horizontal="right" vertical="top"/>
    </xf>
    <xf numFmtId="203" fontId="0" fillId="2" borderId="0" xfId="0" applyNumberFormat="1" applyFont="1" applyFill="1" applyProtection="1">
      <protection locked="0"/>
    </xf>
    <xf numFmtId="0" fontId="0" fillId="0" borderId="0" xfId="0" quotePrefix="1" applyBorder="1" applyAlignment="1">
      <alignment horizontal="left"/>
    </xf>
    <xf numFmtId="169" fontId="44" fillId="0" borderId="0" xfId="0" applyNumberFormat="1" applyFont="1" applyAlignment="1" applyProtection="1"/>
    <xf numFmtId="1" fontId="0" fillId="0" borderId="0" xfId="0" applyNumberFormat="1" applyBorder="1"/>
    <xf numFmtId="164" fontId="0" fillId="0" borderId="84" xfId="0" applyNumberFormat="1" applyFont="1" applyBorder="1" applyAlignment="1" applyProtection="1">
      <alignment horizontal="left"/>
    </xf>
    <xf numFmtId="164" fontId="0" fillId="0" borderId="13" xfId="0" quotePrefix="1" applyNumberFormat="1" applyFont="1" applyBorder="1" applyAlignment="1" applyProtection="1">
      <alignment horizontal="left"/>
    </xf>
    <xf numFmtId="0" fontId="44" fillId="2" borderId="14" xfId="0" applyNumberFormat="1" applyFont="1" applyFill="1" applyBorder="1" applyProtection="1"/>
    <xf numFmtId="192" fontId="3" fillId="0" borderId="14" xfId="0" applyNumberFormat="1" applyFont="1" applyBorder="1" applyAlignment="1"/>
    <xf numFmtId="0" fontId="3" fillId="0" borderId="14" xfId="0" applyNumberFormat="1" applyFont="1" applyBorder="1" applyAlignment="1"/>
    <xf numFmtId="0" fontId="0" fillId="0" borderId="14" xfId="4" applyNumberFormat="1" applyFont="1" applyBorder="1" applyProtection="1"/>
    <xf numFmtId="0" fontId="0" fillId="0" borderId="14" xfId="0" applyNumberFormat="1" applyFont="1" applyBorder="1"/>
    <xf numFmtId="0" fontId="0" fillId="0" borderId="62" xfId="4" applyNumberFormat="1" applyFont="1" applyBorder="1" applyProtection="1"/>
    <xf numFmtId="0" fontId="0" fillId="0" borderId="82" xfId="4" applyNumberFormat="1" applyFont="1" applyBorder="1" applyProtection="1"/>
    <xf numFmtId="0" fontId="4" fillId="0" borderId="25" xfId="0" applyFont="1" applyBorder="1" applyAlignment="1">
      <alignment horizontal="left"/>
    </xf>
    <xf numFmtId="0" fontId="0" fillId="0" borderId="0" xfId="0" quotePrefix="1" applyFont="1"/>
    <xf numFmtId="0" fontId="0" fillId="0" borderId="0" xfId="0"/>
    <xf numFmtId="9" fontId="5" fillId="0" borderId="51" xfId="4" applyNumberFormat="1" applyFont="1" applyBorder="1"/>
    <xf numFmtId="9" fontId="5" fillId="0" borderId="65" xfId="9" applyNumberFormat="1" applyFont="1" applyBorder="1"/>
    <xf numFmtId="9" fontId="5" fillId="0" borderId="49" xfId="4" applyNumberFormat="1" applyFont="1" applyBorder="1"/>
    <xf numFmtId="0" fontId="0" fillId="0" borderId="0" xfId="9" applyFont="1"/>
    <xf numFmtId="0" fontId="0" fillId="0" borderId="0" xfId="9" quotePrefix="1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quotePrefix="1" applyAlignment="1">
      <alignment horizontal="center" vertical="top"/>
    </xf>
    <xf numFmtId="0" fontId="0" fillId="0" borderId="0" xfId="9" applyFont="1" applyAlignment="1">
      <alignment horizontal="center"/>
    </xf>
    <xf numFmtId="0" fontId="29" fillId="0" borderId="0" xfId="9" applyFont="1" applyAlignment="1">
      <alignment horizontal="centerContinuous"/>
    </xf>
    <xf numFmtId="0" fontId="39" fillId="0" borderId="0" xfId="9" applyFont="1" applyAlignment="1">
      <alignment horizontal="center" vertical="center" wrapText="1"/>
    </xf>
    <xf numFmtId="0" fontId="0" fillId="0" borderId="14" xfId="9" applyFont="1" applyBorder="1" applyAlignment="1">
      <alignment vertical="center"/>
    </xf>
    <xf numFmtId="0" fontId="24" fillId="0" borderId="56" xfId="9" applyBorder="1" applyAlignment="1">
      <alignment horizontal="center" vertical="center"/>
    </xf>
    <xf numFmtId="0" fontId="24" fillId="0" borderId="57" xfId="9" applyBorder="1" applyAlignment="1">
      <alignment horizontal="center" vertical="center"/>
    </xf>
    <xf numFmtId="0" fontId="24" fillId="0" borderId="58" xfId="9" applyBorder="1" applyAlignment="1">
      <alignment horizontal="center" vertical="center"/>
    </xf>
    <xf numFmtId="0" fontId="18" fillId="0" borderId="13" xfId="9" applyFont="1" applyBorder="1" applyAlignment="1">
      <alignment horizontal="center" vertical="center"/>
    </xf>
    <xf numFmtId="0" fontId="24" fillId="0" borderId="60" xfId="9" applyBorder="1" applyAlignment="1">
      <alignment horizontal="center" vertical="center"/>
    </xf>
    <xf numFmtId="0" fontId="0" fillId="0" borderId="27" xfId="9" applyFont="1" applyBorder="1"/>
    <xf numFmtId="0" fontId="24" fillId="0" borderId="27" xfId="9" applyBorder="1"/>
    <xf numFmtId="9" fontId="24" fillId="0" borderId="0" xfId="9" applyNumberFormat="1"/>
    <xf numFmtId="3" fontId="24" fillId="0" borderId="0" xfId="9" applyNumberFormat="1"/>
    <xf numFmtId="0" fontId="0" fillId="0" borderId="25" xfId="9" applyFont="1" applyBorder="1"/>
    <xf numFmtId="9" fontId="24" fillId="0" borderId="0" xfId="9" applyNumberFormat="1" applyAlignment="1">
      <alignment horizontal="center"/>
    </xf>
    <xf numFmtId="3" fontId="59" fillId="0" borderId="0" xfId="9" applyNumberFormat="1" applyFont="1"/>
    <xf numFmtId="0" fontId="0" fillId="0" borderId="0" xfId="9" applyFont="1" applyAlignment="1">
      <alignment horizontal="left"/>
    </xf>
    <xf numFmtId="3" fontId="59" fillId="0" borderId="59" xfId="9" applyNumberFormat="1" applyFont="1" applyBorder="1"/>
    <xf numFmtId="0" fontId="0" fillId="0" borderId="25" xfId="0" applyFont="1" applyBorder="1" applyAlignment="1">
      <alignment horizontal="centerContinuous"/>
    </xf>
    <xf numFmtId="0" fontId="58" fillId="0" borderId="0" xfId="9" applyFont="1" applyAlignment="1">
      <alignment horizontal="center"/>
    </xf>
    <xf numFmtId="176" fontId="60" fillId="0" borderId="25" xfId="9" applyNumberFormat="1" applyFont="1" applyBorder="1"/>
    <xf numFmtId="0" fontId="0" fillId="0" borderId="0" xfId="0" applyFont="1" applyAlignment="1">
      <alignment horizontal="centerContinuous" vertical="top"/>
    </xf>
    <xf numFmtId="0" fontId="23" fillId="0" borderId="0" xfId="0" applyFont="1" applyAlignment="1">
      <alignment horizontal="centerContinuous" vertical="top"/>
    </xf>
    <xf numFmtId="0" fontId="24" fillId="0" borderId="0" xfId="9" applyAlignment="1">
      <alignment horizontal="centerContinuous" vertical="top"/>
    </xf>
    <xf numFmtId="0" fontId="0" fillId="0" borderId="0" xfId="9" applyFont="1" applyAlignment="1">
      <alignment vertical="top"/>
    </xf>
    <xf numFmtId="0" fontId="0" fillId="0" borderId="0" xfId="9" quotePrefix="1" applyFont="1" applyAlignment="1"/>
    <xf numFmtId="0" fontId="24" fillId="0" borderId="0" xfId="9" applyAlignment="1"/>
    <xf numFmtId="0" fontId="23" fillId="0" borderId="25" xfId="0" applyFont="1" applyBorder="1" applyAlignment="1"/>
    <xf numFmtId="0" fontId="24" fillId="0" borderId="25" xfId="9" applyBorder="1" applyAlignment="1">
      <alignment horizontal="centerContinuous"/>
    </xf>
    <xf numFmtId="3" fontId="24" fillId="0" borderId="25" xfId="9" applyNumberFormat="1" applyBorder="1" applyAlignment="1">
      <alignment horizontal="center"/>
    </xf>
    <xf numFmtId="3" fontId="59" fillId="0" borderId="25" xfId="9" applyNumberFormat="1" applyFont="1" applyBorder="1"/>
    <xf numFmtId="3" fontId="23" fillId="0" borderId="0" xfId="0" applyNumberFormat="1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9" applyFont="1" applyAlignment="1">
      <alignment horizontal="centerContinuous" vertical="top"/>
    </xf>
    <xf numFmtId="0" fontId="0" fillId="0" borderId="25" xfId="9" applyFont="1" applyBorder="1" applyAlignment="1">
      <alignment horizontal="centerContinuous"/>
    </xf>
    <xf numFmtId="0" fontId="1" fillId="0" borderId="0" xfId="22"/>
    <xf numFmtId="3" fontId="1" fillId="0" borderId="0" xfId="22" applyNumberFormat="1"/>
    <xf numFmtId="0" fontId="1" fillId="0" borderId="0" xfId="22" applyNumberFormat="1"/>
    <xf numFmtId="9" fontId="1" fillId="0" borderId="0" xfId="22" applyNumberFormat="1"/>
    <xf numFmtId="3" fontId="1" fillId="0" borderId="85" xfId="22" applyNumberFormat="1" applyBorder="1"/>
    <xf numFmtId="3" fontId="1" fillId="0" borderId="181" xfId="22" applyNumberFormat="1" applyBorder="1"/>
    <xf numFmtId="0" fontId="1" fillId="0" borderId="85" xfId="22" applyBorder="1"/>
    <xf numFmtId="0" fontId="1" fillId="0" borderId="181" xfId="22" applyBorder="1"/>
    <xf numFmtId="0" fontId="1" fillId="0" borderId="182" xfId="22" applyBorder="1"/>
    <xf numFmtId="0" fontId="1" fillId="0" borderId="183" xfId="22" applyBorder="1"/>
    <xf numFmtId="3" fontId="1" fillId="0" borderId="64" xfId="22" applyNumberFormat="1" applyBorder="1"/>
    <xf numFmtId="3" fontId="1" fillId="0" borderId="184" xfId="22" applyNumberFormat="1" applyBorder="1"/>
    <xf numFmtId="0" fontId="1" fillId="0" borderId="57" xfId="22" applyBorder="1"/>
    <xf numFmtId="0" fontId="1" fillId="0" borderId="58" xfId="22" applyBorder="1"/>
    <xf numFmtId="0" fontId="1" fillId="0" borderId="138" xfId="22" applyBorder="1"/>
    <xf numFmtId="3" fontId="1" fillId="0" borderId="185" xfId="22" applyNumberFormat="1" applyBorder="1"/>
    <xf numFmtId="3" fontId="1" fillId="0" borderId="186" xfId="22" applyNumberFormat="1" applyBorder="1"/>
    <xf numFmtId="0" fontId="1" fillId="0" borderId="186" xfId="22" applyBorder="1"/>
    <xf numFmtId="0" fontId="1" fillId="0" borderId="187" xfId="22" applyBorder="1"/>
    <xf numFmtId="0" fontId="1" fillId="0" borderId="180" xfId="22" applyBorder="1"/>
    <xf numFmtId="0" fontId="1" fillId="0" borderId="188" xfId="22" applyBorder="1"/>
    <xf numFmtId="0" fontId="1" fillId="0" borderId="189" xfId="22" applyBorder="1"/>
    <xf numFmtId="0" fontId="1" fillId="0" borderId="190" xfId="22" applyBorder="1"/>
    <xf numFmtId="0" fontId="61" fillId="0" borderId="0" xfId="22" applyFont="1"/>
    <xf numFmtId="3" fontId="1" fillId="0" borderId="182" xfId="22" applyNumberFormat="1" applyBorder="1"/>
    <xf numFmtId="3" fontId="1" fillId="0" borderId="183" xfId="22" applyNumberFormat="1" applyBorder="1"/>
    <xf numFmtId="3" fontId="1" fillId="0" borderId="187" xfId="22" applyNumberFormat="1" applyBorder="1"/>
    <xf numFmtId="0" fontId="62" fillId="0" borderId="0" xfId="22" applyFont="1" applyAlignment="1"/>
    <xf numFmtId="3" fontId="1" fillId="0" borderId="0" xfId="22" applyNumberFormat="1" applyAlignment="1"/>
    <xf numFmtId="0" fontId="11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Fill="1" applyBorder="1" applyAlignment="1">
      <alignment horizontal="right"/>
    </xf>
    <xf numFmtId="3" fontId="3" fillId="0" borderId="0" xfId="0" applyNumberFormat="1" applyFont="1"/>
    <xf numFmtId="1" fontId="0" fillId="0" borderId="0" xfId="0" applyNumberFormat="1"/>
    <xf numFmtId="0" fontId="0" fillId="0" borderId="0" xfId="0"/>
    <xf numFmtId="3" fontId="4" fillId="0" borderId="0" xfId="0" applyNumberFormat="1" applyFont="1" applyBorder="1" applyProtection="1"/>
    <xf numFmtId="193" fontId="3" fillId="0" borderId="170" xfId="0" applyNumberFormat="1" applyFont="1" applyBorder="1" applyProtection="1"/>
    <xf numFmtId="0" fontId="4" fillId="2" borderId="143" xfId="0" applyNumberFormat="1" applyFont="1" applyFill="1" applyBorder="1" applyAlignment="1" applyProtection="1">
      <alignment horizontal="center"/>
    </xf>
    <xf numFmtId="164" fontId="3" fillId="0" borderId="145" xfId="0" applyNumberFormat="1" applyFont="1" applyBorder="1" applyProtection="1"/>
    <xf numFmtId="3" fontId="51" fillId="2" borderId="122" xfId="0" applyNumberFormat="1" applyFont="1" applyFill="1" applyBorder="1" applyAlignment="1" applyProtection="1"/>
    <xf numFmtId="0" fontId="51" fillId="2" borderId="74" xfId="0" applyNumberFormat="1" applyFont="1" applyFill="1" applyBorder="1" applyAlignment="1" applyProtection="1"/>
    <xf numFmtId="3" fontId="51" fillId="2" borderId="74" xfId="0" applyNumberFormat="1" applyFont="1" applyFill="1" applyBorder="1" applyAlignment="1" applyProtection="1"/>
    <xf numFmtId="166" fontId="3" fillId="0" borderId="155" xfId="0" applyNumberFormat="1" applyFont="1" applyBorder="1" applyAlignment="1" applyProtection="1">
      <alignment horizontal="left"/>
    </xf>
    <xf numFmtId="194" fontId="4" fillId="0" borderId="151" xfId="0" applyNumberFormat="1" applyFont="1" applyBorder="1" applyProtection="1"/>
    <xf numFmtId="193" fontId="4" fillId="0" borderId="172" xfId="0" applyNumberFormat="1" applyFont="1" applyBorder="1" applyProtection="1"/>
    <xf numFmtId="193" fontId="4" fillId="0" borderId="173" xfId="0" applyNumberFormat="1" applyFont="1" applyBorder="1" applyProtection="1"/>
    <xf numFmtId="190" fontId="4" fillId="0" borderId="74" xfId="0" applyNumberFormat="1" applyFont="1" applyBorder="1" applyProtection="1"/>
    <xf numFmtId="2" fontId="51" fillId="2" borderId="74" xfId="0" applyNumberFormat="1" applyFont="1" applyFill="1" applyBorder="1" applyAlignment="1" applyProtection="1"/>
    <xf numFmtId="2" fontId="51" fillId="2" borderId="82" xfId="0" applyNumberFormat="1" applyFont="1" applyFill="1" applyBorder="1" applyAlignment="1" applyProtection="1"/>
    <xf numFmtId="194" fontId="4" fillId="0" borderId="162" xfId="0" applyNumberFormat="1" applyFont="1" applyBorder="1" applyProtection="1"/>
    <xf numFmtId="194" fontId="4" fillId="0" borderId="163" xfId="0" applyNumberFormat="1" applyFont="1" applyBorder="1" applyProtection="1"/>
    <xf numFmtId="166" fontId="3" fillId="0" borderId="155" xfId="0" applyNumberFormat="1" applyFont="1" applyBorder="1" applyProtection="1"/>
    <xf numFmtId="193" fontId="4" fillId="0" borderId="157" xfId="0" applyNumberFormat="1" applyFont="1" applyBorder="1" applyProtection="1"/>
    <xf numFmtId="169" fontId="51" fillId="2" borderId="74" xfId="0" applyNumberFormat="1" applyFont="1" applyFill="1" applyBorder="1" applyAlignment="1" applyProtection="1"/>
    <xf numFmtId="2" fontId="0" fillId="0" borderId="0" xfId="0" applyNumberFormat="1"/>
    <xf numFmtId="165" fontId="3" fillId="0" borderId="0" xfId="4" applyNumberFormat="1" applyFont="1"/>
    <xf numFmtId="10" fontId="3" fillId="0" borderId="0" xfId="4" applyNumberFormat="1" applyFont="1"/>
    <xf numFmtId="4" fontId="3" fillId="0" borderId="0" xfId="0" applyNumberFormat="1" applyFont="1"/>
    <xf numFmtId="164" fontId="3" fillId="0" borderId="191" xfId="0" applyNumberFormat="1" applyFont="1" applyBorder="1" applyProtection="1"/>
    <xf numFmtId="164" fontId="3" fillId="0" borderId="192" xfId="0" applyNumberFormat="1" applyFont="1" applyBorder="1" applyAlignment="1" applyProtection="1">
      <alignment horizontal="left"/>
    </xf>
    <xf numFmtId="164" fontId="4" fillId="0" borderId="192" xfId="0" applyNumberFormat="1" applyFont="1" applyBorder="1" applyAlignment="1" applyProtection="1">
      <alignment horizontal="left"/>
    </xf>
    <xf numFmtId="164" fontId="4" fillId="0" borderId="193" xfId="0" applyNumberFormat="1" applyFont="1" applyBorder="1" applyAlignment="1" applyProtection="1">
      <alignment horizontal="left"/>
    </xf>
    <xf numFmtId="0" fontId="4" fillId="2" borderId="202" xfId="0" applyNumberFormat="1" applyFont="1" applyFill="1" applyBorder="1" applyAlignment="1" applyProtection="1">
      <alignment horizontal="center"/>
    </xf>
    <xf numFmtId="164" fontId="3" fillId="0" borderId="201" xfId="0" applyNumberFormat="1" applyFont="1" applyBorder="1" applyProtection="1"/>
    <xf numFmtId="194" fontId="3" fillId="0" borderId="195" xfId="0" applyNumberFormat="1" applyFont="1" applyBorder="1" applyProtection="1"/>
    <xf numFmtId="193" fontId="3" fillId="0" borderId="194" xfId="0" applyNumberFormat="1" applyFont="1" applyBorder="1" applyProtection="1"/>
    <xf numFmtId="193" fontId="4" fillId="0" borderId="200" xfId="0" applyNumberFormat="1" applyFont="1" applyBorder="1" applyProtection="1"/>
    <xf numFmtId="166" fontId="3" fillId="0" borderId="197" xfId="0" applyNumberFormat="1" applyFont="1" applyBorder="1" applyAlignment="1" applyProtection="1">
      <alignment horizontal="left"/>
    </xf>
    <xf numFmtId="194" fontId="4" fillId="0" borderId="198" xfId="0" applyNumberFormat="1" applyFont="1" applyBorder="1" applyProtection="1"/>
    <xf numFmtId="166" fontId="3" fillId="0" borderId="197" xfId="0" applyNumberFormat="1" applyFont="1" applyBorder="1" applyProtection="1"/>
    <xf numFmtId="194" fontId="4" fillId="0" borderId="195" xfId="0" applyNumberFormat="1" applyFont="1" applyBorder="1" applyProtection="1"/>
    <xf numFmtId="193" fontId="4" fillId="0" borderId="194" xfId="0" applyNumberFormat="1" applyFont="1" applyBorder="1" applyProtection="1"/>
    <xf numFmtId="164" fontId="4" fillId="5" borderId="123" xfId="0" applyNumberFormat="1" applyFont="1" applyFill="1" applyBorder="1" applyAlignment="1" applyProtection="1">
      <alignment horizontal="left"/>
    </xf>
    <xf numFmtId="164" fontId="4" fillId="5" borderId="125" xfId="0" applyNumberFormat="1" applyFont="1" applyFill="1" applyBorder="1" applyAlignment="1" applyProtection="1">
      <alignment horizontal="left"/>
    </xf>
    <xf numFmtId="4" fontId="44" fillId="2" borderId="196" xfId="0" applyNumberFormat="1" applyFont="1" applyFill="1" applyBorder="1" applyProtection="1"/>
    <xf numFmtId="192" fontId="0" fillId="0" borderId="127" xfId="0" applyNumberFormat="1" applyBorder="1"/>
    <xf numFmtId="0" fontId="0" fillId="0" borderId="20" xfId="0" applyNumberFormat="1" applyBorder="1"/>
    <xf numFmtId="0" fontId="3" fillId="0" borderId="196" xfId="0" applyNumberFormat="1" applyFont="1" applyBorder="1"/>
    <xf numFmtId="0" fontId="3" fillId="0" borderId="125" xfId="0" applyNumberFormat="1" applyFont="1" applyBorder="1"/>
    <xf numFmtId="0" fontId="3" fillId="0" borderId="117" xfId="0" applyNumberFormat="1" applyFont="1" applyBorder="1" applyProtection="1"/>
    <xf numFmtId="0" fontId="4" fillId="2" borderId="203" xfId="0" applyNumberFormat="1" applyFont="1" applyFill="1" applyBorder="1" applyAlignment="1" applyProtection="1">
      <alignment horizontal="center"/>
    </xf>
    <xf numFmtId="164" fontId="3" fillId="0" borderId="204" xfId="0" applyNumberFormat="1" applyFont="1" applyBorder="1" applyProtection="1"/>
    <xf numFmtId="194" fontId="3" fillId="0" borderId="205" xfId="0" applyNumberFormat="1" applyFont="1" applyBorder="1" applyProtection="1"/>
    <xf numFmtId="193" fontId="3" fillId="0" borderId="206" xfId="0" applyNumberFormat="1" applyFont="1" applyBorder="1" applyProtection="1"/>
    <xf numFmtId="166" fontId="3" fillId="0" borderId="207" xfId="0" applyNumberFormat="1" applyFont="1" applyBorder="1" applyAlignment="1" applyProtection="1">
      <alignment horizontal="left"/>
    </xf>
    <xf numFmtId="166" fontId="3" fillId="0" borderId="207" xfId="0" applyNumberFormat="1" applyFont="1" applyBorder="1" applyProtection="1"/>
    <xf numFmtId="194" fontId="4" fillId="0" borderId="205" xfId="0" applyNumberFormat="1" applyFont="1" applyBorder="1" applyProtection="1"/>
    <xf numFmtId="193" fontId="4" fillId="0" borderId="206" xfId="0" applyNumberFormat="1" applyFont="1" applyBorder="1" applyProtection="1"/>
    <xf numFmtId="0" fontId="0" fillId="0" borderId="191" xfId="0" applyBorder="1"/>
    <xf numFmtId="164" fontId="3" fillId="0" borderId="191" xfId="0" applyNumberFormat="1" applyFont="1" applyBorder="1" applyAlignment="1" applyProtection="1">
      <alignment horizontal="left"/>
    </xf>
    <xf numFmtId="194" fontId="3" fillId="0" borderId="209" xfId="0" applyNumberFormat="1" applyFont="1" applyBorder="1" applyProtection="1"/>
    <xf numFmtId="0" fontId="0" fillId="0" borderId="74" xfId="0" quotePrefix="1" applyBorder="1" applyAlignment="1">
      <alignment horizontal="right"/>
    </xf>
    <xf numFmtId="166" fontId="3" fillId="0" borderId="74" xfId="0" applyNumberFormat="1" applyFont="1" applyBorder="1" applyProtection="1"/>
    <xf numFmtId="164" fontId="3" fillId="0" borderId="210" xfId="0" applyNumberFormat="1" applyFont="1" applyBorder="1" applyAlignment="1" applyProtection="1">
      <alignment horizontal="left"/>
    </xf>
    <xf numFmtId="194" fontId="3" fillId="0" borderId="211" xfId="0" applyNumberFormat="1" applyFont="1" applyBorder="1" applyProtection="1"/>
    <xf numFmtId="194" fontId="3" fillId="0" borderId="212" xfId="0" applyNumberFormat="1" applyFont="1" applyBorder="1" applyProtection="1"/>
    <xf numFmtId="194" fontId="3" fillId="0" borderId="213" xfId="0" applyNumberFormat="1" applyFont="1" applyBorder="1" applyProtection="1"/>
    <xf numFmtId="192" fontId="3" fillId="0" borderId="74" xfId="0" applyNumberFormat="1" applyFont="1" applyBorder="1" applyProtection="1"/>
    <xf numFmtId="164" fontId="4" fillId="0" borderId="191" xfId="0" applyNumberFormat="1" applyFont="1" applyBorder="1" applyProtection="1"/>
    <xf numFmtId="194" fontId="4" fillId="0" borderId="209" xfId="0" applyNumberFormat="1" applyFont="1" applyBorder="1" applyProtection="1"/>
    <xf numFmtId="164" fontId="3" fillId="0" borderId="214" xfId="0" applyNumberFormat="1" applyFont="1" applyBorder="1" applyProtection="1"/>
    <xf numFmtId="0" fontId="0" fillId="0" borderId="214" xfId="0" applyBorder="1"/>
    <xf numFmtId="0" fontId="3" fillId="0" borderId="214" xfId="0" applyFont="1" applyBorder="1"/>
    <xf numFmtId="192" fontId="3" fillId="0" borderId="214" xfId="0" applyNumberFormat="1" applyFont="1" applyBorder="1" applyProtection="1"/>
    <xf numFmtId="164" fontId="3" fillId="0" borderId="214" xfId="0" applyNumberFormat="1" applyFont="1" applyBorder="1" applyAlignment="1" applyProtection="1">
      <alignment horizontal="left"/>
    </xf>
    <xf numFmtId="194" fontId="3" fillId="0" borderId="170" xfId="0" applyNumberFormat="1" applyFont="1" applyBorder="1" applyProtection="1"/>
    <xf numFmtId="194" fontId="3" fillId="0" borderId="194" xfId="0" applyNumberFormat="1" applyFont="1" applyBorder="1" applyProtection="1"/>
    <xf numFmtId="194" fontId="3" fillId="0" borderId="206" xfId="0" applyNumberFormat="1" applyFont="1" applyBorder="1" applyProtection="1"/>
    <xf numFmtId="193" fontId="4" fillId="0" borderId="215" xfId="0" applyNumberFormat="1" applyFont="1" applyBorder="1" applyProtection="1"/>
    <xf numFmtId="193" fontId="4" fillId="0" borderId="199" xfId="0" applyNumberFormat="1" applyFont="1" applyBorder="1" applyProtection="1"/>
    <xf numFmtId="193" fontId="4" fillId="0" borderId="208" xfId="0" applyNumberFormat="1" applyFont="1" applyBorder="1" applyProtection="1"/>
    <xf numFmtId="193" fontId="3" fillId="0" borderId="209" xfId="0" applyNumberFormat="1" applyFont="1" applyBorder="1" applyProtection="1"/>
    <xf numFmtId="193" fontId="3" fillId="0" borderId="195" xfId="0" applyNumberFormat="1" applyFont="1" applyBorder="1" applyProtection="1"/>
    <xf numFmtId="193" fontId="3" fillId="0" borderId="205" xfId="0" applyNumberFormat="1" applyFont="1" applyBorder="1" applyProtection="1"/>
    <xf numFmtId="193" fontId="3" fillId="0" borderId="211" xfId="0" applyNumberFormat="1" applyFont="1" applyBorder="1" applyProtection="1"/>
    <xf numFmtId="193" fontId="3" fillId="0" borderId="212" xfId="0" applyNumberFormat="1" applyFont="1" applyBorder="1" applyProtection="1"/>
    <xf numFmtId="193" fontId="3" fillId="0" borderId="213" xfId="0" applyNumberFormat="1" applyFont="1" applyBorder="1" applyProtection="1"/>
    <xf numFmtId="164" fontId="0" fillId="0" borderId="214" xfId="0" applyNumberFormat="1" applyFont="1" applyBorder="1" applyAlignment="1" applyProtection="1">
      <alignment horizontal="left"/>
    </xf>
    <xf numFmtId="164" fontId="4" fillId="0" borderId="2" xfId="0" applyNumberFormat="1" applyFont="1" applyBorder="1" applyAlignment="1" applyProtection="1">
      <alignment horizontal="right"/>
    </xf>
    <xf numFmtId="0" fontId="20" fillId="0" borderId="0" xfId="0" applyFont="1"/>
    <xf numFmtId="0" fontId="0" fillId="0" borderId="216" xfId="0" applyBorder="1"/>
    <xf numFmtId="0" fontId="3" fillId="0" borderId="216" xfId="0" applyFont="1" applyBorder="1"/>
    <xf numFmtId="1" fontId="0" fillId="0" borderId="216" xfId="0" applyNumberFormat="1" applyBorder="1"/>
    <xf numFmtId="0" fontId="0" fillId="0" borderId="216" xfId="0" quotePrefix="1" applyBorder="1" applyAlignment="1">
      <alignment horizontal="left"/>
    </xf>
    <xf numFmtId="1" fontId="0" fillId="0" borderId="74" xfId="0" applyNumberFormat="1" applyBorder="1"/>
    <xf numFmtId="0" fontId="0" fillId="0" borderId="74" xfId="0" quotePrefix="1" applyBorder="1" applyAlignment="1">
      <alignment horizontal="left"/>
    </xf>
    <xf numFmtId="0" fontId="0" fillId="0" borderId="23" xfId="0" applyBorder="1"/>
    <xf numFmtId="0" fontId="3" fillId="0" borderId="23" xfId="0" applyFont="1" applyBorder="1"/>
    <xf numFmtId="1" fontId="0" fillId="0" borderId="23" xfId="0" applyNumberFormat="1" applyBorder="1"/>
    <xf numFmtId="0" fontId="0" fillId="0" borderId="23" xfId="0" quotePrefix="1" applyBorder="1" applyAlignment="1">
      <alignment horizontal="left"/>
    </xf>
    <xf numFmtId="0" fontId="17" fillId="0" borderId="23" xfId="0" applyFont="1" applyBorder="1"/>
    <xf numFmtId="0" fontId="4" fillId="0" borderId="23" xfId="0" applyFont="1" applyBorder="1" applyAlignment="1">
      <alignment horizontal="left"/>
    </xf>
    <xf numFmtId="1" fontId="0" fillId="0" borderId="214" xfId="0" applyNumberFormat="1" applyBorder="1"/>
    <xf numFmtId="0" fontId="0" fillId="0" borderId="214" xfId="0" quotePrefix="1" applyBorder="1" applyAlignment="1">
      <alignment horizontal="left"/>
    </xf>
    <xf numFmtId="1" fontId="0" fillId="0" borderId="82" xfId="0" applyNumberFormat="1" applyBorder="1"/>
    <xf numFmtId="0" fontId="0" fillId="0" borderId="82" xfId="0" quotePrefix="1" applyBorder="1" applyAlignment="1">
      <alignment horizontal="left"/>
    </xf>
    <xf numFmtId="0" fontId="16" fillId="0" borderId="11" xfId="0" applyFont="1" applyBorder="1"/>
    <xf numFmtId="0" fontId="0" fillId="0" borderId="25" xfId="0" quotePrefix="1" applyFont="1" applyBorder="1"/>
    <xf numFmtId="0" fontId="15" fillId="0" borderId="11" xfId="0" applyFont="1" applyBorder="1"/>
    <xf numFmtId="2" fontId="23" fillId="0" borderId="0" xfId="0" applyNumberFormat="1" applyFont="1" applyBorder="1"/>
    <xf numFmtId="0" fontId="0" fillId="0" borderId="217" xfId="0" applyFont="1" applyBorder="1"/>
    <xf numFmtId="164" fontId="4" fillId="0" borderId="218" xfId="0" applyNumberFormat="1" applyFont="1" applyFill="1" applyBorder="1" applyAlignment="1" applyProtection="1">
      <alignment horizontal="centerContinuous"/>
    </xf>
    <xf numFmtId="0" fontId="0" fillId="0" borderId="0" xfId="0" applyFont="1" applyBorder="1" applyAlignment="1">
      <alignment horizontal="center" vertical="center" textRotation="90"/>
    </xf>
    <xf numFmtId="0" fontId="0" fillId="0" borderId="90" xfId="0" applyFont="1" applyBorder="1"/>
    <xf numFmtId="0" fontId="0" fillId="0" borderId="73" xfId="0" applyFont="1" applyBorder="1"/>
    <xf numFmtId="4" fontId="23" fillId="0" borderId="74" xfId="0" applyNumberFormat="1" applyFont="1" applyBorder="1"/>
    <xf numFmtId="2" fontId="23" fillId="0" borderId="74" xfId="0" applyNumberFormat="1" applyFont="1" applyBorder="1"/>
    <xf numFmtId="0" fontId="0" fillId="0" borderId="74" xfId="0" applyFont="1" applyBorder="1"/>
    <xf numFmtId="0" fontId="0" fillId="0" borderId="76" xfId="0" quotePrefix="1" applyBorder="1" applyAlignment="1">
      <alignment horizontal="left"/>
    </xf>
    <xf numFmtId="0" fontId="0" fillId="0" borderId="81" xfId="0" applyFont="1" applyBorder="1"/>
    <xf numFmtId="4" fontId="23" fillId="0" borderId="82" xfId="0" applyNumberFormat="1" applyFont="1" applyBorder="1"/>
    <xf numFmtId="2" fontId="23" fillId="0" borderId="82" xfId="0" applyNumberFormat="1" applyFont="1" applyBorder="1"/>
    <xf numFmtId="0" fontId="0" fillId="0" borderId="82" xfId="0" applyFont="1" applyBorder="1"/>
    <xf numFmtId="0" fontId="0" fillId="0" borderId="84" xfId="0" quotePrefix="1" applyBorder="1" applyAlignment="1">
      <alignment horizontal="left"/>
    </xf>
    <xf numFmtId="0" fontId="0" fillId="0" borderId="220" xfId="0" applyFont="1" applyBorder="1"/>
    <xf numFmtId="4" fontId="23" fillId="0" borderId="191" xfId="0" applyNumberFormat="1" applyFont="1" applyBorder="1"/>
    <xf numFmtId="0" fontId="0" fillId="0" borderId="191" xfId="0" quotePrefix="1" applyBorder="1" applyAlignment="1">
      <alignment horizontal="left"/>
    </xf>
    <xf numFmtId="201" fontId="0" fillId="0" borderId="191" xfId="0" applyNumberFormat="1" applyFont="1" applyBorder="1"/>
    <xf numFmtId="2" fontId="23" fillId="0" borderId="191" xfId="0" applyNumberFormat="1" applyFont="1" applyBorder="1"/>
    <xf numFmtId="0" fontId="0" fillId="0" borderId="191" xfId="0" applyFont="1" applyBorder="1"/>
    <xf numFmtId="0" fontId="0" fillId="0" borderId="221" xfId="0" quotePrefix="1" applyBorder="1" applyAlignment="1">
      <alignment horizontal="left"/>
    </xf>
    <xf numFmtId="0" fontId="23" fillId="0" borderId="191" xfId="0" applyFont="1" applyBorder="1"/>
    <xf numFmtId="0" fontId="0" fillId="0" borderId="221" xfId="0" applyBorder="1"/>
    <xf numFmtId="0" fontId="23" fillId="0" borderId="222" xfId="0" applyFont="1" applyBorder="1"/>
    <xf numFmtId="0" fontId="23" fillId="0" borderId="217" xfId="0" applyFont="1" applyBorder="1"/>
    <xf numFmtId="0" fontId="23" fillId="0" borderId="223" xfId="0" applyFont="1" applyBorder="1"/>
    <xf numFmtId="0" fontId="23" fillId="0" borderId="89" xfId="0" applyFont="1" applyBorder="1"/>
    <xf numFmtId="0" fontId="0" fillId="0" borderId="91" xfId="0" quotePrefix="1" applyBorder="1" applyAlignment="1">
      <alignment horizontal="left"/>
    </xf>
    <xf numFmtId="0" fontId="0" fillId="0" borderId="74" xfId="0" applyFont="1" applyBorder="1" applyAlignment="1">
      <alignment horizontal="left"/>
    </xf>
    <xf numFmtId="2" fontId="0" fillId="0" borderId="74" xfId="0" applyNumberFormat="1" applyFont="1" applyBorder="1"/>
    <xf numFmtId="9" fontId="23" fillId="0" borderId="74" xfId="0" applyNumberFormat="1" applyFont="1" applyBorder="1"/>
    <xf numFmtId="172" fontId="23" fillId="0" borderId="74" xfId="0" applyNumberFormat="1" applyFont="1" applyBorder="1"/>
    <xf numFmtId="0" fontId="0" fillId="0" borderId="74" xfId="0" applyFont="1" applyBorder="1" applyAlignment="1">
      <alignment horizontal="right"/>
    </xf>
    <xf numFmtId="9" fontId="23" fillId="0" borderId="82" xfId="0" applyNumberFormat="1" applyFont="1" applyBorder="1"/>
    <xf numFmtId="172" fontId="23" fillId="0" borderId="82" xfId="0" applyNumberFormat="1" applyFont="1" applyBorder="1"/>
    <xf numFmtId="0" fontId="0" fillId="0" borderId="82" xfId="0" applyFont="1" applyBorder="1" applyAlignment="1">
      <alignment horizontal="right"/>
    </xf>
    <xf numFmtId="0" fontId="0" fillId="0" borderId="82" xfId="0" applyFont="1" applyBorder="1" applyAlignment="1">
      <alignment horizontal="left"/>
    </xf>
    <xf numFmtId="2" fontId="0" fillId="0" borderId="82" xfId="0" applyNumberFormat="1" applyFont="1" applyBorder="1"/>
    <xf numFmtId="0" fontId="0" fillId="0" borderId="222" xfId="0" applyFont="1" applyBorder="1"/>
    <xf numFmtId="2" fontId="0" fillId="0" borderId="217" xfId="0" applyNumberFormat="1" applyBorder="1" applyAlignment="1"/>
    <xf numFmtId="0" fontId="0" fillId="0" borderId="217" xfId="0" applyBorder="1"/>
    <xf numFmtId="4" fontId="23" fillId="0" borderId="217" xfId="0" applyNumberFormat="1" applyFont="1" applyBorder="1"/>
    <xf numFmtId="0" fontId="0" fillId="0" borderId="223" xfId="0" quotePrefix="1" applyBorder="1" applyAlignment="1">
      <alignment horizontal="left"/>
    </xf>
    <xf numFmtId="2" fontId="23" fillId="0" borderId="217" xfId="0" applyNumberFormat="1" applyFont="1" applyBorder="1"/>
    <xf numFmtId="0" fontId="0" fillId="0" borderId="217" xfId="0" quotePrefix="1" applyBorder="1" applyAlignment="1">
      <alignment horizontal="left"/>
    </xf>
    <xf numFmtId="164" fontId="22" fillId="0" borderId="0" xfId="1" applyFont="1"/>
    <xf numFmtId="3" fontId="60" fillId="0" borderId="0" xfId="0" applyNumberFormat="1" applyFont="1"/>
    <xf numFmtId="3" fontId="63" fillId="0" borderId="14" xfId="0" applyNumberFormat="1" applyFont="1" applyBorder="1"/>
    <xf numFmtId="3" fontId="51" fillId="0" borderId="0" xfId="0" applyNumberFormat="1" applyFont="1" applyFill="1" applyBorder="1" applyAlignment="1" applyProtection="1"/>
    <xf numFmtId="0" fontId="0" fillId="0" borderId="0" xfId="0"/>
    <xf numFmtId="0" fontId="4" fillId="0" borderId="74" xfId="0" applyFont="1" applyBorder="1"/>
    <xf numFmtId="0" fontId="3" fillId="0" borderId="220" xfId="0" applyFont="1" applyBorder="1"/>
    <xf numFmtId="0" fontId="3" fillId="0" borderId="221" xfId="0" applyFont="1" applyBorder="1"/>
    <xf numFmtId="0" fontId="3" fillId="0" borderId="73" xfId="0" applyFont="1" applyBorder="1"/>
    <xf numFmtId="0" fontId="3" fillId="0" borderId="225" xfId="0" applyFont="1" applyBorder="1"/>
    <xf numFmtId="0" fontId="3" fillId="0" borderId="226" xfId="0" applyFont="1" applyBorder="1"/>
    <xf numFmtId="0" fontId="3" fillId="0" borderId="222" xfId="0" applyFont="1" applyBorder="1"/>
    <xf numFmtId="0" fontId="3" fillId="0" borderId="223" xfId="0" applyFont="1" applyBorder="1"/>
    <xf numFmtId="0" fontId="3" fillId="0" borderId="227" xfId="0" applyFont="1" applyBorder="1"/>
    <xf numFmtId="0" fontId="4" fillId="0" borderId="222" xfId="0" applyFont="1" applyBorder="1"/>
    <xf numFmtId="0" fontId="3" fillId="0" borderId="217" xfId="0" applyFont="1" applyBorder="1"/>
    <xf numFmtId="3" fontId="4" fillId="0" borderId="0" xfId="0" applyNumberFormat="1" applyFont="1" applyFill="1" applyBorder="1" applyAlignment="1" applyProtection="1"/>
    <xf numFmtId="0" fontId="44" fillId="0" borderId="25" xfId="0" applyNumberFormat="1" applyFont="1" applyBorder="1" applyAlignment="1" applyProtection="1">
      <alignment horizontal="center"/>
    </xf>
    <xf numFmtId="164" fontId="59" fillId="0" borderId="62" xfId="0" applyNumberFormat="1" applyFont="1" applyBorder="1" applyAlignment="1" applyProtection="1">
      <alignment horizontal="left"/>
    </xf>
    <xf numFmtId="200" fontId="59" fillId="0" borderId="151" xfId="0" applyNumberFormat="1" applyFont="1" applyBorder="1" applyAlignment="1" applyProtection="1"/>
    <xf numFmtId="200" fontId="59" fillId="0" borderId="152" xfId="0" applyNumberFormat="1" applyFont="1" applyBorder="1" applyAlignment="1" applyProtection="1"/>
    <xf numFmtId="4" fontId="59" fillId="0" borderId="151" xfId="0" applyNumberFormat="1" applyFont="1" applyBorder="1" applyAlignment="1" applyProtection="1"/>
    <xf numFmtId="4" fontId="59" fillId="0" borderId="152" xfId="0" applyNumberFormat="1" applyFont="1" applyBorder="1" applyAlignment="1" applyProtection="1"/>
    <xf numFmtId="164" fontId="59" fillId="0" borderId="25" xfId="0" applyNumberFormat="1" applyFont="1" applyBorder="1" applyAlignment="1" applyProtection="1">
      <alignment horizontal="left"/>
    </xf>
    <xf numFmtId="4" fontId="59" fillId="0" borderId="153" xfId="0" applyNumberFormat="1" applyFont="1" applyBorder="1" applyAlignment="1" applyProtection="1"/>
    <xf numFmtId="4" fontId="59" fillId="0" borderId="154" xfId="0" applyNumberFormat="1" applyFont="1" applyBorder="1" applyAlignment="1" applyProtection="1"/>
    <xf numFmtId="199" fontId="59" fillId="0" borderId="151" xfId="0" applyNumberFormat="1" applyFont="1" applyBorder="1" applyAlignment="1" applyProtection="1"/>
    <xf numFmtId="199" fontId="59" fillId="0" borderId="152" xfId="0" applyNumberFormat="1" applyFont="1" applyBorder="1" applyAlignment="1" applyProtection="1"/>
    <xf numFmtId="3" fontId="59" fillId="0" borderId="151" xfId="0" applyNumberFormat="1" applyFont="1" applyBorder="1" applyAlignment="1" applyProtection="1"/>
    <xf numFmtId="3" fontId="59" fillId="0" borderId="152" xfId="0" applyNumberFormat="1" applyFont="1" applyBorder="1" applyAlignment="1" applyProtection="1"/>
    <xf numFmtId="3" fontId="59" fillId="0" borderId="153" xfId="0" applyNumberFormat="1" applyFont="1" applyBorder="1" applyAlignment="1" applyProtection="1"/>
    <xf numFmtId="3" fontId="59" fillId="0" borderId="154" xfId="0" applyNumberFormat="1" applyFont="1" applyBorder="1" applyAlignment="1" applyProtection="1"/>
    <xf numFmtId="0" fontId="59" fillId="0" borderId="0" xfId="0" applyNumberFormat="1" applyFont="1"/>
    <xf numFmtId="193" fontId="4" fillId="0" borderId="0" xfId="0" applyNumberFormat="1" applyFont="1" applyBorder="1" applyProtection="1"/>
    <xf numFmtId="2" fontId="3" fillId="0" borderId="216" xfId="0" applyNumberFormat="1" applyFont="1" applyBorder="1"/>
    <xf numFmtId="0" fontId="0" fillId="0" borderId="0" xfId="0"/>
    <xf numFmtId="0" fontId="0" fillId="0" borderId="0" xfId="0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5" xfId="0" applyBorder="1" applyAlignment="1"/>
    <xf numFmtId="0" fontId="0" fillId="0" borderId="228" xfId="0" applyBorder="1" applyAlignment="1"/>
    <xf numFmtId="2" fontId="0" fillId="0" borderId="228" xfId="0" applyNumberFormat="1" applyBorder="1" applyAlignment="1"/>
    <xf numFmtId="204" fontId="0" fillId="0" borderId="0" xfId="0" applyNumberFormat="1" applyAlignment="1">
      <alignment vertical="center"/>
    </xf>
    <xf numFmtId="0" fontId="0" fillId="0" borderId="0" xfId="0" applyBorder="1" applyAlignment="1"/>
    <xf numFmtId="2" fontId="0" fillId="0" borderId="0" xfId="0" applyNumberFormat="1" applyBorder="1" applyAlignment="1"/>
    <xf numFmtId="0" fontId="0" fillId="0" borderId="0" xfId="0" quotePrefix="1"/>
    <xf numFmtId="204" fontId="0" fillId="0" borderId="0" xfId="0" applyNumberFormat="1"/>
    <xf numFmtId="204" fontId="4" fillId="0" borderId="0" xfId="0" applyNumberFormat="1" applyFont="1"/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7" fillId="0" borderId="2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" fontId="23" fillId="0" borderId="0" xfId="0" applyNumberFormat="1" applyFont="1"/>
    <xf numFmtId="3" fontId="0" fillId="0" borderId="0" xfId="0" applyNumberFormat="1"/>
    <xf numFmtId="2" fontId="51" fillId="0" borderId="0" xfId="0" applyNumberFormat="1" applyFont="1" applyFill="1" applyBorder="1" applyAlignment="1" applyProtection="1"/>
    <xf numFmtId="2" fontId="51" fillId="0" borderId="25" xfId="0" applyNumberFormat="1" applyFont="1" applyFill="1" applyBorder="1" applyAlignment="1" applyProtection="1"/>
    <xf numFmtId="4" fontId="0" fillId="0" borderId="25" xfId="0" applyNumberFormat="1" applyBorder="1"/>
    <xf numFmtId="1" fontId="0" fillId="0" borderId="0" xfId="0" applyNumberFormat="1"/>
    <xf numFmtId="4" fontId="0" fillId="0" borderId="0" xfId="0" applyNumberFormat="1"/>
    <xf numFmtId="4" fontId="0" fillId="0" borderId="62" xfId="0" applyNumberFormat="1" applyBorder="1"/>
    <xf numFmtId="3" fontId="0" fillId="0" borderId="62" xfId="0" applyNumberFormat="1" applyBorder="1"/>
    <xf numFmtId="3" fontId="0" fillId="0" borderId="25" xfId="0" applyNumberFormat="1" applyBorder="1"/>
    <xf numFmtId="3" fontId="51" fillId="0" borderId="11" xfId="0" applyNumberFormat="1" applyFont="1" applyFill="1" applyBorder="1" applyAlignment="1" applyProtection="1"/>
    <xf numFmtId="3" fontId="23" fillId="0" borderId="0" xfId="4" applyNumberFormat="1" applyFont="1" applyAlignment="1"/>
    <xf numFmtId="196" fontId="9" fillId="0" borderId="27" xfId="9" applyNumberFormat="1" applyFont="1" applyBorder="1" applyAlignment="1">
      <alignment horizontal="left"/>
    </xf>
    <xf numFmtId="3" fontId="5" fillId="0" borderId="27" xfId="9" applyNumberFormat="1" applyFont="1" applyBorder="1" applyAlignment="1">
      <alignment horizontal="center"/>
    </xf>
    <xf numFmtId="198" fontId="5" fillId="0" borderId="27" xfId="9" applyNumberFormat="1" applyFont="1" applyBorder="1" applyAlignment="1">
      <alignment horizontal="left"/>
    </xf>
    <xf numFmtId="3" fontId="4" fillId="0" borderId="0" xfId="0" applyNumberFormat="1" applyFont="1" applyBorder="1" applyProtection="1"/>
    <xf numFmtId="0" fontId="5" fillId="0" borderId="159" xfId="5" applyFont="1" applyBorder="1" applyAlignment="1">
      <alignment horizontal="center" vertical="center" textRotation="90"/>
    </xf>
    <xf numFmtId="0" fontId="5" fillId="0" borderId="160" xfId="5" applyFont="1" applyBorder="1" applyAlignment="1">
      <alignment horizontal="center" vertical="center" textRotation="90"/>
    </xf>
    <xf numFmtId="0" fontId="5" fillId="0" borderId="161" xfId="5" applyFont="1" applyBorder="1" applyAlignment="1">
      <alignment horizontal="center" vertical="center" textRotation="90"/>
    </xf>
    <xf numFmtId="3" fontId="3" fillId="0" borderId="0" xfId="0" applyNumberFormat="1" applyFont="1"/>
    <xf numFmtId="0" fontId="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3" fontId="44" fillId="0" borderId="0" xfId="0" applyNumberFormat="1" applyFont="1" applyAlignment="1" applyProtection="1"/>
    <xf numFmtId="3" fontId="23" fillId="0" borderId="0" xfId="0" applyNumberFormat="1" applyFont="1" applyAlignment="1" applyProtection="1"/>
    <xf numFmtId="0" fontId="0" fillId="0" borderId="0" xfId="0"/>
    <xf numFmtId="3" fontId="0" fillId="0" borderId="0" xfId="0" applyNumberFormat="1" applyBorder="1"/>
    <xf numFmtId="3" fontId="24" fillId="0" borderId="0" xfId="9" applyNumberFormat="1" applyAlignment="1">
      <alignment horizontal="center" vertical="center"/>
    </xf>
    <xf numFmtId="0" fontId="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9" fontId="24" fillId="0" borderId="0" xfId="9" applyNumberFormat="1" applyAlignment="1">
      <alignment horizontal="center" vertical="center"/>
    </xf>
    <xf numFmtId="3" fontId="23" fillId="0" borderId="217" xfId="0" applyNumberFormat="1" applyFont="1" applyBorder="1" applyAlignment="1"/>
    <xf numFmtId="3" fontId="23" fillId="0" borderId="0" xfId="0" applyNumberFormat="1" applyFont="1" applyAlignment="1"/>
    <xf numFmtId="2" fontId="0" fillId="0" borderId="25" xfId="0" applyNumberFormat="1" applyBorder="1"/>
    <xf numFmtId="3" fontId="51" fillId="0" borderId="0" xfId="0" applyNumberFormat="1" applyFont="1" applyFill="1" applyBorder="1" applyAlignment="1" applyProtection="1"/>
    <xf numFmtId="0" fontId="51" fillId="0" borderId="0" xfId="0" applyNumberFormat="1" applyFont="1" applyFill="1" applyBorder="1" applyAlignment="1" applyProtection="1"/>
    <xf numFmtId="169" fontId="51" fillId="0" borderId="0" xfId="0" applyNumberFormat="1" applyFont="1" applyFill="1" applyBorder="1" applyAlignment="1" applyProtection="1"/>
    <xf numFmtId="194" fontId="4" fillId="0" borderId="162" xfId="0" applyNumberFormat="1" applyFont="1" applyBorder="1" applyProtection="1"/>
    <xf numFmtId="194" fontId="4" fillId="0" borderId="163" xfId="0" applyNumberFormat="1" applyFont="1" applyBorder="1" applyProtection="1"/>
    <xf numFmtId="166" fontId="3" fillId="0" borderId="155" xfId="0" applyNumberFormat="1" applyFont="1" applyBorder="1" applyProtection="1"/>
    <xf numFmtId="166" fontId="3" fillId="0" borderId="156" xfId="0" applyNumberFormat="1" applyFont="1" applyBorder="1" applyProtection="1"/>
    <xf numFmtId="194" fontId="4" fillId="0" borderId="151" xfId="0" applyNumberFormat="1" applyFont="1" applyBorder="1" applyProtection="1"/>
    <xf numFmtId="194" fontId="4" fillId="0" borderId="152" xfId="0" applyNumberFormat="1" applyFont="1" applyBorder="1" applyProtection="1"/>
    <xf numFmtId="193" fontId="4" fillId="0" borderId="157" xfId="0" applyNumberFormat="1" applyFont="1" applyBorder="1" applyProtection="1"/>
    <xf numFmtId="193" fontId="4" fillId="0" borderId="158" xfId="0" applyNumberFormat="1" applyFont="1" applyBorder="1" applyProtection="1"/>
    <xf numFmtId="169" fontId="51" fillId="2" borderId="74" xfId="0" applyNumberFormat="1" applyFont="1" applyFill="1" applyBorder="1" applyAlignment="1" applyProtection="1"/>
    <xf numFmtId="193" fontId="3" fillId="0" borderId="164" xfId="0" applyNumberFormat="1" applyFont="1" applyBorder="1" applyProtection="1"/>
    <xf numFmtId="194" fontId="3" fillId="0" borderId="168" xfId="0" applyNumberFormat="1" applyFont="1" applyBorder="1" applyProtection="1"/>
    <xf numFmtId="193" fontId="4" fillId="0" borderId="164" xfId="0" applyNumberFormat="1" applyFont="1" applyBorder="1" applyProtection="1"/>
    <xf numFmtId="193" fontId="4" fillId="0" borderId="172" xfId="0" applyNumberFormat="1" applyFont="1" applyBorder="1" applyProtection="1"/>
    <xf numFmtId="194" fontId="3" fillId="0" borderId="174" xfId="0" applyNumberFormat="1" applyFont="1" applyBorder="1" applyProtection="1"/>
    <xf numFmtId="193" fontId="3" fillId="0" borderId="176" xfId="0" applyNumberFormat="1" applyFont="1" applyBorder="1" applyProtection="1"/>
    <xf numFmtId="190" fontId="4" fillId="0" borderId="74" xfId="0" applyNumberFormat="1" applyFont="1" applyBorder="1" applyProtection="1"/>
    <xf numFmtId="2" fontId="51" fillId="2" borderId="74" xfId="0" applyNumberFormat="1" applyFont="1" applyFill="1" applyBorder="1" applyAlignment="1" applyProtection="1"/>
    <xf numFmtId="2" fontId="51" fillId="2" borderId="82" xfId="0" applyNumberFormat="1" applyFont="1" applyFill="1" applyBorder="1" applyAlignment="1" applyProtection="1"/>
    <xf numFmtId="193" fontId="4" fillId="0" borderId="165" xfId="0" applyNumberFormat="1" applyFont="1" applyBorder="1" applyProtection="1"/>
    <xf numFmtId="194" fontId="3" fillId="0" borderId="166" xfId="0" applyNumberFormat="1" applyFont="1" applyBorder="1" applyProtection="1"/>
    <xf numFmtId="194" fontId="3" fillId="0" borderId="167" xfId="0" applyNumberFormat="1" applyFont="1" applyBorder="1" applyProtection="1"/>
    <xf numFmtId="194" fontId="3" fillId="0" borderId="169" xfId="0" applyNumberFormat="1" applyFont="1" applyBorder="1" applyProtection="1"/>
    <xf numFmtId="193" fontId="3" fillId="0" borderId="177" xfId="0" applyNumberFormat="1" applyFont="1" applyBorder="1" applyProtection="1"/>
    <xf numFmtId="0" fontId="4" fillId="2" borderId="143" xfId="0" applyNumberFormat="1" applyFont="1" applyFill="1" applyBorder="1" applyAlignment="1" applyProtection="1">
      <alignment horizontal="center"/>
    </xf>
    <xf numFmtId="0" fontId="4" fillId="2" borderId="144" xfId="0" applyNumberFormat="1" applyFont="1" applyFill="1" applyBorder="1" applyAlignment="1" applyProtection="1">
      <alignment horizontal="center"/>
    </xf>
    <xf numFmtId="164" fontId="3" fillId="0" borderId="145" xfId="0" applyNumberFormat="1" applyFont="1" applyBorder="1" applyProtection="1"/>
    <xf numFmtId="164" fontId="3" fillId="0" borderId="146" xfId="0" applyNumberFormat="1" applyFont="1" applyBorder="1" applyProtection="1"/>
    <xf numFmtId="194" fontId="3" fillId="0" borderId="151" xfId="0" applyNumberFormat="1" applyFont="1" applyBorder="1" applyProtection="1"/>
    <xf numFmtId="194" fontId="3" fillId="0" borderId="152" xfId="0" applyNumberFormat="1" applyFont="1" applyBorder="1" applyProtection="1"/>
    <xf numFmtId="193" fontId="3" fillId="0" borderId="153" xfId="0" applyNumberFormat="1" applyFont="1" applyBorder="1" applyProtection="1"/>
    <xf numFmtId="193" fontId="3" fillId="0" borderId="178" xfId="0" applyNumberFormat="1" applyFont="1" applyBorder="1" applyProtection="1"/>
    <xf numFmtId="166" fontId="3" fillId="0" borderId="155" xfId="0" applyNumberFormat="1" applyFont="1" applyBorder="1" applyAlignment="1" applyProtection="1">
      <alignment horizontal="left"/>
    </xf>
    <xf numFmtId="3" fontId="51" fillId="2" borderId="122" xfId="0" applyNumberFormat="1" applyFont="1" applyFill="1" applyBorder="1" applyAlignment="1" applyProtection="1"/>
    <xf numFmtId="0" fontId="51" fillId="2" borderId="74" xfId="0" applyNumberFormat="1" applyFont="1" applyFill="1" applyBorder="1" applyAlignment="1" applyProtection="1"/>
    <xf numFmtId="3" fontId="51" fillId="2" borderId="74" xfId="0" applyNumberFormat="1" applyFont="1" applyFill="1" applyBorder="1" applyAlignment="1" applyProtection="1"/>
    <xf numFmtId="193" fontId="3" fillId="0" borderId="165" xfId="0" applyNumberFormat="1" applyFont="1" applyBorder="1" applyProtection="1"/>
    <xf numFmtId="166" fontId="3" fillId="0" borderId="156" xfId="0" applyNumberFormat="1" applyFont="1" applyBorder="1" applyAlignment="1" applyProtection="1">
      <alignment horizontal="left"/>
    </xf>
    <xf numFmtId="193" fontId="3" fillId="0" borderId="170" xfId="0" applyNumberFormat="1" applyFont="1" applyBorder="1" applyProtection="1"/>
    <xf numFmtId="193" fontId="3" fillId="0" borderId="171" xfId="0" applyNumberFormat="1" applyFont="1" applyBorder="1" applyProtection="1"/>
    <xf numFmtId="193" fontId="4" fillId="0" borderId="173" xfId="0" applyNumberFormat="1" applyFont="1" applyBorder="1" applyProtection="1"/>
    <xf numFmtId="194" fontId="3" fillId="0" borderId="175" xfId="0" applyNumberFormat="1" applyFont="1" applyBorder="1" applyProtection="1"/>
    <xf numFmtId="0" fontId="0" fillId="0" borderId="219" xfId="0" applyFont="1" applyBorder="1" applyAlignment="1">
      <alignment horizontal="center" vertical="center" textRotation="90"/>
    </xf>
    <xf numFmtId="0" fontId="0" fillId="0" borderId="160" xfId="0" applyFont="1" applyBorder="1" applyAlignment="1">
      <alignment horizontal="center" vertical="center" textRotation="90"/>
    </xf>
    <xf numFmtId="0" fontId="0" fillId="0" borderId="161" xfId="0" applyFont="1" applyBorder="1" applyAlignment="1">
      <alignment horizontal="center" vertical="center" textRotation="90"/>
    </xf>
    <xf numFmtId="0" fontId="23" fillId="0" borderId="160" xfId="0" applyFont="1" applyBorder="1" applyAlignment="1">
      <alignment horizontal="center" vertical="center" textRotation="90"/>
    </xf>
    <xf numFmtId="0" fontId="23" fillId="0" borderId="161" xfId="0" applyFont="1" applyBorder="1" applyAlignment="1">
      <alignment horizontal="center" vertical="center" textRotation="90"/>
    </xf>
    <xf numFmtId="204" fontId="0" fillId="0" borderId="0" xfId="0" applyNumberFormat="1" applyAlignment="1">
      <alignment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28" xfId="0" applyBorder="1" applyAlignment="1">
      <alignment horizontal="center"/>
    </xf>
    <xf numFmtId="2" fontId="0" fillId="0" borderId="0" xfId="0" applyNumberFormat="1"/>
    <xf numFmtId="2" fontId="44" fillId="2" borderId="82" xfId="0" applyNumberFormat="1" applyFont="1" applyFill="1" applyBorder="1" applyAlignment="1" applyProtection="1"/>
    <xf numFmtId="1" fontId="44" fillId="2" borderId="74" xfId="0" applyNumberFormat="1" applyFont="1" applyFill="1" applyBorder="1" applyAlignment="1" applyProtection="1"/>
    <xf numFmtId="195" fontId="3" fillId="0" borderId="82" xfId="0" applyNumberFormat="1" applyFont="1" applyBorder="1" applyAlignment="1" applyProtection="1"/>
    <xf numFmtId="3" fontId="0" fillId="0" borderId="216" xfId="0" applyNumberFormat="1" applyBorder="1"/>
    <xf numFmtId="3" fontId="0" fillId="0" borderId="74" xfId="0" applyNumberFormat="1" applyBorder="1"/>
    <xf numFmtId="3" fontId="0" fillId="0" borderId="82" xfId="0" applyNumberFormat="1" applyBorder="1"/>
    <xf numFmtId="4" fontId="0" fillId="0" borderId="214" xfId="0" applyNumberFormat="1" applyBorder="1"/>
    <xf numFmtId="3" fontId="44" fillId="2" borderId="74" xfId="0" applyNumberFormat="1" applyFont="1" applyFill="1" applyBorder="1" applyAlignment="1" applyProtection="1"/>
    <xf numFmtId="3" fontId="44" fillId="2" borderId="90" xfId="0" applyNumberFormat="1" applyFont="1" applyFill="1" applyBorder="1" applyAlignment="1" applyProtection="1"/>
    <xf numFmtId="190" fontId="3" fillId="0" borderId="74" xfId="0" applyNumberFormat="1" applyFont="1" applyBorder="1" applyAlignment="1" applyProtection="1"/>
    <xf numFmtId="1" fontId="3" fillId="0" borderId="14" xfId="0" applyNumberFormat="1" applyFont="1" applyBorder="1" applyAlignment="1" applyProtection="1"/>
    <xf numFmtId="1" fontId="44" fillId="2" borderId="90" xfId="0" applyNumberFormat="1" applyFont="1" applyFill="1" applyBorder="1" applyAlignment="1" applyProtection="1"/>
    <xf numFmtId="4" fontId="0" fillId="0" borderId="216" xfId="0" applyNumberFormat="1" applyBorder="1"/>
    <xf numFmtId="4" fontId="0" fillId="0" borderId="82" xfId="0" applyNumberFormat="1" applyBorder="1"/>
    <xf numFmtId="3" fontId="0" fillId="0" borderId="214" xfId="0" applyNumberFormat="1" applyBorder="1"/>
    <xf numFmtId="2" fontId="0" fillId="0" borderId="23" xfId="0" applyNumberFormat="1" applyBorder="1"/>
    <xf numFmtId="3" fontId="3" fillId="0" borderId="216" xfId="0" applyNumberFormat="1" applyFont="1" applyBorder="1"/>
    <xf numFmtId="2" fontId="0" fillId="0" borderId="214" xfId="0" applyNumberFormat="1" applyBorder="1"/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222" xfId="0" applyFont="1" applyBorder="1" applyAlignment="1">
      <alignment horizontal="center"/>
    </xf>
    <xf numFmtId="0" fontId="0" fillId="0" borderId="223" xfId="0" applyFont="1" applyBorder="1" applyAlignment="1">
      <alignment horizontal="center"/>
    </xf>
    <xf numFmtId="3" fontId="3" fillId="2" borderId="16" xfId="0" applyNumberFormat="1" applyFont="1" applyFill="1" applyBorder="1" applyAlignment="1">
      <alignment horizontal="center"/>
    </xf>
    <xf numFmtId="3" fontId="3" fillId="2" borderId="179" xfId="0" applyNumberFormat="1" applyFont="1" applyFill="1" applyBorder="1" applyAlignment="1">
      <alignment horizontal="center"/>
    </xf>
    <xf numFmtId="3" fontId="0" fillId="2" borderId="16" xfId="0" applyNumberFormat="1" applyFont="1" applyFill="1" applyBorder="1" applyAlignment="1">
      <alignment horizontal="center"/>
    </xf>
    <xf numFmtId="3" fontId="0" fillId="2" borderId="179" xfId="0" applyNumberFormat="1" applyFont="1" applyFill="1" applyBorder="1" applyAlignment="1">
      <alignment horizontal="center"/>
    </xf>
    <xf numFmtId="3" fontId="3" fillId="2" borderId="17" xfId="0" applyNumberFormat="1" applyFont="1" applyFill="1" applyBorder="1" applyAlignment="1">
      <alignment horizontal="center"/>
    </xf>
    <xf numFmtId="3" fontId="3" fillId="2" borderId="224" xfId="0" applyNumberFormat="1" applyFont="1" applyFill="1" applyBorder="1" applyAlignment="1">
      <alignment horizontal="center"/>
    </xf>
  </cellXfs>
  <cellStyles count="23">
    <cellStyle name="AAbstand" xfId="1" xr:uid="{00000000-0005-0000-0000-000000000000}"/>
    <cellStyle name="Edit" xfId="2" xr:uid="{00000000-0005-0000-0000-000001000000}"/>
    <cellStyle name="Euro" xfId="3" xr:uid="{00000000-0005-0000-0000-000002000000}"/>
    <cellStyle name="Prozent" xfId="4" builtinId="5"/>
    <cellStyle name="Standard" xfId="0" builtinId="0"/>
    <cellStyle name="Standard 2" xfId="22" xr:uid="{00000000-0005-0000-0000-000005000000}"/>
    <cellStyle name="Standard_Anlagewert Alternativ" xfId="5" xr:uid="{00000000-0005-0000-0000-000006000000}"/>
    <cellStyle name="Standard_Digitale AfA" xfId="6" xr:uid="{00000000-0005-0000-0000-000007000000}"/>
    <cellStyle name="Standard_Mako_MEU" xfId="7" xr:uid="{00000000-0005-0000-0000-000008000000}"/>
    <cellStyle name="Standard_MaKoFakt" xfId="8" xr:uid="{00000000-0005-0000-0000-000009000000}"/>
    <cellStyle name="Standard_Zinsfuss" xfId="9" xr:uid="{00000000-0005-0000-0000-00000A000000}"/>
    <cellStyle name="TabFont" xfId="10" xr:uid="{00000000-0005-0000-0000-00000B000000}"/>
    <cellStyle name="Ueb1" xfId="11" xr:uid="{00000000-0005-0000-0000-00000C000000}"/>
    <cellStyle name="Ueb1_Abstand" xfId="12" xr:uid="{00000000-0005-0000-0000-00000D000000}"/>
    <cellStyle name="Ueb2" xfId="13" xr:uid="{00000000-0005-0000-0000-00000E000000}"/>
    <cellStyle name="Ueb2_Abstand" xfId="14" xr:uid="{00000000-0005-0000-0000-00000F000000}"/>
    <cellStyle name="Ueb3" xfId="15" xr:uid="{00000000-0005-0000-0000-000010000000}"/>
    <cellStyle name="Ueb3_Abstand" xfId="16" xr:uid="{00000000-0005-0000-0000-000011000000}"/>
    <cellStyle name="Ueb4" xfId="17" xr:uid="{00000000-0005-0000-0000-000012000000}"/>
    <cellStyle name="Ueberschrift1" xfId="18" xr:uid="{00000000-0005-0000-0000-000013000000}"/>
    <cellStyle name="VarDez2" xfId="19" xr:uid="{00000000-0005-0000-0000-000014000000}"/>
    <cellStyle name="VarDez2+" xfId="20" xr:uid="{00000000-0005-0000-0000-000015000000}"/>
    <cellStyle name="Обычный_MaKo" xfId="21" xr:uid="{00000000-0005-0000-0000-00001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82758620689656"/>
          <c:y val="7.5757949405921551E-2"/>
          <c:w val="0.82413793103448274"/>
          <c:h val="0.76768055398000501"/>
        </c:manualLayout>
      </c:layout>
      <c:areaChart>
        <c:grouping val="stacked"/>
        <c:varyColors val="0"/>
        <c:ser>
          <c:idx val="1"/>
          <c:order val="0"/>
          <c:tx>
            <c:strRef>
              <c:f>Text!$D$697</c:f>
              <c:strCache>
                <c:ptCount val="1"/>
                <c:pt idx="0">
                  <c:v>Eigenkapital</c:v>
                </c:pt>
              </c:strCache>
            </c:strRef>
          </c:tx>
          <c:spPr>
            <a:pattFill prst="dashHorz">
              <a:fgClr>
                <a:srgbClr xmlns:mc="http://schemas.openxmlformats.org/markup-compatibility/2006" xmlns:a14="http://schemas.microsoft.com/office/drawing/2010/main" val="3333CC" mc:Ignorable="a14" a14:legacySpreadsheetColorIndex="56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Text!$H$692:$M$692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Text!$H$697:$M$697</c:f>
              <c:numCache>
                <c:formatCode>#,##0</c:formatCode>
                <c:ptCount val="6"/>
                <c:pt idx="0">
                  <c:v>40000</c:v>
                </c:pt>
                <c:pt idx="1">
                  <c:v>50000</c:v>
                </c:pt>
                <c:pt idx="2">
                  <c:v>60000</c:v>
                </c:pt>
                <c:pt idx="3">
                  <c:v>40000</c:v>
                </c:pt>
                <c:pt idx="4">
                  <c:v>20000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70-4AC4-A853-E4715750B67B}"/>
            </c:ext>
          </c:extLst>
        </c:ser>
        <c:ser>
          <c:idx val="0"/>
          <c:order val="1"/>
          <c:tx>
            <c:strRef>
              <c:f>Text!$D$695</c:f>
              <c:strCache>
                <c:ptCount val="1"/>
                <c:pt idx="0">
                  <c:v>Fremdkapital</c:v>
                </c:pt>
              </c:strCache>
            </c:strRef>
          </c:tx>
          <c:spPr>
            <a:pattFill prst="dashVert">
              <a:fgClr>
                <a:srgbClr xmlns:mc="http://schemas.openxmlformats.org/markup-compatibility/2006" xmlns:a14="http://schemas.microsoft.com/office/drawing/2010/main" val="FF0000" mc:Ignorable="a14" a14:legacySpreadsheetColorIndex="10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Text!$H$692:$M$692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Text!$H$695:$M$695</c:f>
              <c:numCache>
                <c:formatCode>#,##0</c:formatCode>
                <c:ptCount val="6"/>
                <c:pt idx="0">
                  <c:v>60000</c:v>
                </c:pt>
                <c:pt idx="1">
                  <c:v>30000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70-4AC4-A853-E4715750B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254656"/>
        <c:axId val="355256192"/>
      </c:areaChart>
      <c:catAx>
        <c:axId val="35525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5256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5256192"/>
        <c:scaling>
          <c:orientation val="minMax"/>
          <c:max val="1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5254656"/>
        <c:crosses val="autoZero"/>
        <c:crossBetween val="midCat"/>
        <c:majorUnit val="20000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00016479512303"/>
          <c:y val="4.6439628482972138E-2"/>
          <c:w val="0.8550010437024459"/>
          <c:h val="0.857585139318885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Text!$P$320</c:f>
              <c:strCache>
                <c:ptCount val="1"/>
                <c:pt idx="0">
                  <c:v>Buch-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64-48CB-9046-AD0722C2CD9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Text!$P$322:$P$326</c:f>
              <c:numCache>
                <c:formatCode>#,##0</c:formatCode>
                <c:ptCount val="5"/>
                <c:pt idx="0">
                  <c:v>66666.666666666672</c:v>
                </c:pt>
                <c:pt idx="1">
                  <c:v>40000</c:v>
                </c:pt>
                <c:pt idx="2">
                  <c:v>20000</c:v>
                </c:pt>
                <c:pt idx="3">
                  <c:v>6666.6666666666661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64-48CB-9046-AD0722C2CD99}"/>
            </c:ext>
          </c:extLst>
        </c:ser>
        <c:ser>
          <c:idx val="1"/>
          <c:order val="1"/>
          <c:tx>
            <c:strRef>
              <c:f>Text!$N$320</c:f>
              <c:strCache>
                <c:ptCount val="1"/>
                <c:pt idx="0">
                  <c:v>Jährl.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ysDash"/>
            </a:ln>
          </c:spPr>
          <c:invertIfNegative val="0"/>
          <c:dLbls>
            <c:dLbl>
              <c:idx val="7"/>
              <c:layout>
                <c:manualLayout>
                  <c:xMode val="edge"/>
                  <c:yMode val="edge"/>
                  <c:x val="0.78750096130488445"/>
                  <c:y val="0.6934984520123839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64-48CB-9046-AD0722C2CD99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79000096435664591"/>
                  <c:y val="0.6934984520123839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64-48CB-9046-AD0722C2CD9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Text!$N$322:$N$326</c:f>
              <c:numCache>
                <c:formatCode>#,##0</c:formatCode>
                <c:ptCount val="5"/>
                <c:pt idx="0">
                  <c:v>33333.333333333328</c:v>
                </c:pt>
                <c:pt idx="1">
                  <c:v>26666.666666666668</c:v>
                </c:pt>
                <c:pt idx="2">
                  <c:v>20000</c:v>
                </c:pt>
                <c:pt idx="3">
                  <c:v>13333.333333333334</c:v>
                </c:pt>
                <c:pt idx="4">
                  <c:v>6666.666666666667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64-48CB-9046-AD0722C2CD99}"/>
            </c:ext>
          </c:extLst>
        </c:ser>
        <c:ser>
          <c:idx val="2"/>
          <c:order val="2"/>
          <c:tx>
            <c:strRef>
              <c:f>Text!$O$320</c:f>
              <c:strCache>
                <c:ptCount val="1"/>
                <c:pt idx="0">
                  <c:v>Frühere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64-48CB-9046-AD0722C2CD9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Text!$O$322:$O$326</c:f>
              <c:numCache>
                <c:formatCode>#,##0</c:formatCode>
                <c:ptCount val="5"/>
                <c:pt idx="0">
                  <c:v>0</c:v>
                </c:pt>
                <c:pt idx="1">
                  <c:v>33333.333333333328</c:v>
                </c:pt>
                <c:pt idx="2">
                  <c:v>60000</c:v>
                </c:pt>
                <c:pt idx="3">
                  <c:v>80000</c:v>
                </c:pt>
                <c:pt idx="4">
                  <c:v>93333.333333333328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64-48CB-9046-AD0722C2C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355952128"/>
        <c:axId val="355953664"/>
      </c:barChart>
      <c:catAx>
        <c:axId val="3559521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5953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5953664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5952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00016479512303"/>
          <c:y val="4.6439628482972138E-2"/>
          <c:w val="0.8550010437024459"/>
          <c:h val="0.857585139318885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Text!$K$258</c:f>
              <c:strCache>
                <c:ptCount val="1"/>
                <c:pt idx="0">
                  <c:v>Buch-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BF-4904-BC04-69C328C3E01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Text!$K$260:$K$264</c:f>
              <c:numCache>
                <c:formatCode>#,##0</c:formatCode>
                <c:ptCount val="5"/>
                <c:pt idx="0">
                  <c:v>60000</c:v>
                </c:pt>
                <c:pt idx="1">
                  <c:v>36000</c:v>
                </c:pt>
                <c:pt idx="2">
                  <c:v>21600</c:v>
                </c:pt>
                <c:pt idx="3">
                  <c:v>12960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BF-4904-BC04-69C328C3E01C}"/>
            </c:ext>
          </c:extLst>
        </c:ser>
        <c:ser>
          <c:idx val="1"/>
          <c:order val="1"/>
          <c:tx>
            <c:strRef>
              <c:f>Text!$L$258</c:f>
              <c:strCache>
                <c:ptCount val="1"/>
                <c:pt idx="0">
                  <c:v>Jährl.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ysDash"/>
            </a:ln>
          </c:spPr>
          <c:invertIfNegative val="0"/>
          <c:dLbls>
            <c:dLbl>
              <c:idx val="7"/>
              <c:layout>
                <c:manualLayout>
                  <c:xMode val="edge"/>
                  <c:yMode val="edge"/>
                  <c:x val="0.78750096130488445"/>
                  <c:y val="0.6934984520123839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BF-4904-BC04-69C328C3E01C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79000096435664591"/>
                  <c:y val="0.6934984520123839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BF-4904-BC04-69C328C3E01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Text!$L$260:$L$264</c:f>
              <c:numCache>
                <c:formatCode>#,##0</c:formatCode>
                <c:ptCount val="5"/>
                <c:pt idx="0">
                  <c:v>40000</c:v>
                </c:pt>
                <c:pt idx="1">
                  <c:v>24000</c:v>
                </c:pt>
                <c:pt idx="2">
                  <c:v>14400</c:v>
                </c:pt>
                <c:pt idx="3">
                  <c:v>8640</c:v>
                </c:pt>
                <c:pt idx="4">
                  <c:v>12960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BF-4904-BC04-69C328C3E01C}"/>
            </c:ext>
          </c:extLst>
        </c:ser>
        <c:ser>
          <c:idx val="2"/>
          <c:order val="2"/>
          <c:tx>
            <c:strRef>
              <c:f>Text!$M$258</c:f>
              <c:strCache>
                <c:ptCount val="1"/>
                <c:pt idx="0">
                  <c:v>Frühere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BF-4904-BC04-69C328C3E01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Text!$M$260:$M$264</c:f>
              <c:numCache>
                <c:formatCode>#,##0</c:formatCode>
                <c:ptCount val="5"/>
                <c:pt idx="0">
                  <c:v>0</c:v>
                </c:pt>
                <c:pt idx="1">
                  <c:v>40000</c:v>
                </c:pt>
                <c:pt idx="2">
                  <c:v>64000</c:v>
                </c:pt>
                <c:pt idx="3">
                  <c:v>78400</c:v>
                </c:pt>
                <c:pt idx="4">
                  <c:v>87040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BF-4904-BC04-69C328C3E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356463744"/>
        <c:axId val="356465280"/>
      </c:barChart>
      <c:catAx>
        <c:axId val="3564637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6465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6465280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6463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00016479512303"/>
          <c:y val="5.7894736842105263E-2"/>
          <c:w val="0.8550010437024459"/>
          <c:h val="0.860526315789473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Text!$Q$365</c:f>
              <c:strCache>
                <c:ptCount val="1"/>
                <c:pt idx="0">
                  <c:v>Buch-</c:v>
                </c:pt>
              </c:strCache>
            </c:strRef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72-4B6B-87BB-B014249464E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Text!$Q$367:$Q$371</c:f>
              <c:numCache>
                <c:formatCode>#,##0</c:formatCode>
                <c:ptCount val="5"/>
                <c:pt idx="0">
                  <c:v>80000</c:v>
                </c:pt>
                <c:pt idx="1">
                  <c:v>63000</c:v>
                </c:pt>
                <c:pt idx="2">
                  <c:v>44000</c:v>
                </c:pt>
                <c:pt idx="3">
                  <c:v>23000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72-4B6B-87BB-B014249464E5}"/>
            </c:ext>
          </c:extLst>
        </c:ser>
        <c:ser>
          <c:idx val="1"/>
          <c:order val="1"/>
          <c:tx>
            <c:strRef>
              <c:f>Text!$M$365</c:f>
              <c:strCache>
                <c:ptCount val="1"/>
                <c:pt idx="0">
                  <c:v>Nominal</c:v>
                </c:pt>
              </c:strCache>
            </c:strRef>
          </c:tx>
          <c:spPr>
            <a:solidFill>
              <a:srgbClr val="FFFF99"/>
            </a:solidFill>
            <a:ln w="3175">
              <a:solidFill>
                <a:srgbClr val="000000"/>
              </a:solidFill>
              <a:prstDash val="sysDash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Text!$M$367:$M$371</c:f>
              <c:numCache>
                <c:formatCode>#,##0</c:formatCode>
                <c:ptCount val="5"/>
                <c:pt idx="0">
                  <c:v>20000</c:v>
                </c:pt>
                <c:pt idx="1">
                  <c:v>21000</c:v>
                </c:pt>
                <c:pt idx="2">
                  <c:v>22000</c:v>
                </c:pt>
                <c:pt idx="3">
                  <c:v>23000</c:v>
                </c:pt>
                <c:pt idx="4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72-4B6B-87BB-B014249464E5}"/>
            </c:ext>
          </c:extLst>
        </c:ser>
        <c:ser>
          <c:idx val="2"/>
          <c:order val="2"/>
          <c:tx>
            <c:strRef>
              <c:f>Text!$N$365</c:f>
              <c:strCache>
                <c:ptCount val="1"/>
                <c:pt idx="0">
                  <c:v>Nachhol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ysDash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72-4B6B-87BB-B014249464E5}"/>
                </c:ext>
              </c:extLst>
            </c:dLbl>
            <c:dLbl>
              <c:idx val="1"/>
              <c:layout>
                <c:manualLayout>
                  <c:x val="-3.6184277193833715E-3"/>
                  <c:y val="4.913406848171416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72-4B6B-87BB-B014249464E5}"/>
                </c:ext>
              </c:extLst>
            </c:dLbl>
            <c:dLbl>
              <c:idx val="2"/>
              <c:layout>
                <c:manualLayout>
                  <c:x val="2.8815650689724055E-3"/>
                  <c:y val="-4.790671903998321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72-4B6B-87BB-B014249464E5}"/>
                </c:ext>
              </c:extLst>
            </c:dLbl>
            <c:dLbl>
              <c:idx val="3"/>
              <c:layout>
                <c:manualLayout>
                  <c:x val="-6.1845434971786691E-4"/>
                  <c:y val="2.742361724235290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72-4B6B-87BB-B014249464E5}"/>
                </c:ext>
              </c:extLst>
            </c:dLbl>
            <c:spPr>
              <a:noFill/>
              <a:ln w="25400">
                <a:noFill/>
              </a:ln>
            </c:spPr>
            <c:txPr>
              <a:bodyPr rot="-270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Text!$N$367:$N$371</c:f>
              <c:numCache>
                <c:formatCode>#,##0</c:formatCode>
                <c:ptCount val="5"/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172-4B6B-87BB-B014249464E5}"/>
            </c:ext>
          </c:extLst>
        </c:ser>
        <c:ser>
          <c:idx val="3"/>
          <c:order val="3"/>
          <c:tx>
            <c:strRef>
              <c:f>Text!$P$365</c:f>
              <c:strCache>
                <c:ptCount val="1"/>
                <c:pt idx="0">
                  <c:v>Frühere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72-4B6B-87BB-B014249464E5}"/>
                </c:ext>
              </c:extLst>
            </c:dLbl>
            <c:dLbl>
              <c:idx val="1"/>
              <c:layout>
                <c:manualLayout>
                  <c:x val="1.8545529523967077E-3"/>
                  <c:y val="-3.08682138416908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72-4B6B-87BB-B014249464E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Text!$P$367:$P$371</c:f>
              <c:numCache>
                <c:formatCode>#,##0</c:formatCode>
                <c:ptCount val="5"/>
                <c:pt idx="1">
                  <c:v>20000</c:v>
                </c:pt>
                <c:pt idx="2">
                  <c:v>42000</c:v>
                </c:pt>
                <c:pt idx="3">
                  <c:v>66000</c:v>
                </c:pt>
                <c:pt idx="4">
                  <c:v>92000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72-4B6B-87BB-B01424946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356071296"/>
        <c:axId val="356072832"/>
      </c:barChart>
      <c:catAx>
        <c:axId val="35607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6072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6072832"/>
        <c:scaling>
          <c:orientation val="minMax"/>
          <c:max val="12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607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9" l="0.78740157499999996" r="0.78740157499999996" t="0.984251969" header="0.4921259845" footer="0.492125984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00016479512303"/>
          <c:y val="4.6583921571600795E-2"/>
          <c:w val="0.8550010437024459"/>
          <c:h val="0.85714415691745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Text!$M$208</c:f>
              <c:strCache>
                <c:ptCount val="1"/>
                <c:pt idx="0">
                  <c:v>wert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45-44DA-BDF3-075AC1CD4A7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Text!$L$209:$L$213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Text!$M$209:$M$213</c:f>
              <c:numCache>
                <c:formatCode>#,##0</c:formatCode>
                <c:ptCount val="5"/>
                <c:pt idx="0">
                  <c:v>83620.25192052545</c:v>
                </c:pt>
                <c:pt idx="1">
                  <c:v>65602.529033103463</c:v>
                </c:pt>
                <c:pt idx="2">
                  <c:v>45783.033856939262</c:v>
                </c:pt>
                <c:pt idx="3">
                  <c:v>23981.589163158646</c:v>
                </c:pt>
                <c:pt idx="4">
                  <c:v>-3.2741809263825417E-11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45-44DA-BDF3-075AC1CD4A75}"/>
            </c:ext>
          </c:extLst>
        </c:ser>
        <c:ser>
          <c:idx val="1"/>
          <c:order val="1"/>
          <c:tx>
            <c:strRef>
              <c:f>Text!$O$208</c:f>
              <c:strCache>
                <c:ptCount val="1"/>
                <c:pt idx="0">
                  <c:v>AfA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ysDash"/>
            </a:ln>
          </c:spPr>
          <c:invertIfNegative val="0"/>
          <c:dLbls>
            <c:dLbl>
              <c:idx val="7"/>
              <c:layout>
                <c:manualLayout>
                  <c:xMode val="edge"/>
                  <c:yMode val="edge"/>
                  <c:x val="0.78750096130488445"/>
                  <c:y val="0.6956532288025718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45-44DA-BDF3-075AC1CD4A75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79000096435664591"/>
                  <c:y val="0.6956532288025718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45-44DA-BDF3-075AC1CD4A7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Text!$L$209:$L$213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Text!$O$209:$O$213</c:f>
              <c:numCache>
                <c:formatCode>#,##0</c:formatCode>
                <c:ptCount val="5"/>
                <c:pt idx="0">
                  <c:v>16379.748079474542</c:v>
                </c:pt>
                <c:pt idx="1">
                  <c:v>18017.722887421995</c:v>
                </c:pt>
                <c:pt idx="2">
                  <c:v>19819.495176164197</c:v>
                </c:pt>
                <c:pt idx="3">
                  <c:v>21801.444693780617</c:v>
                </c:pt>
                <c:pt idx="4">
                  <c:v>23981.589163158678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45-44DA-BDF3-075AC1CD4A75}"/>
            </c:ext>
          </c:extLst>
        </c:ser>
        <c:ser>
          <c:idx val="2"/>
          <c:order val="2"/>
          <c:tx>
            <c:strRef>
              <c:f>Text!$P$208</c:f>
              <c:strCache>
                <c:ptCount val="1"/>
                <c:pt idx="0">
                  <c:v>AfA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45-44DA-BDF3-075AC1CD4A7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Text!$L$209:$L$213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Text!$P$209:$P$213</c:f>
              <c:numCache>
                <c:formatCode>#,##0</c:formatCode>
                <c:ptCount val="5"/>
                <c:pt idx="0" formatCode="General">
                  <c:v>0</c:v>
                </c:pt>
                <c:pt idx="1">
                  <c:v>16379.748079474542</c:v>
                </c:pt>
                <c:pt idx="2">
                  <c:v>34397.470966896537</c:v>
                </c:pt>
                <c:pt idx="3">
                  <c:v>54216.966143060738</c:v>
                </c:pt>
                <c:pt idx="4">
                  <c:v>76018.410836841358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45-44DA-BDF3-075AC1CD4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356359168"/>
        <c:axId val="356369152"/>
      </c:barChart>
      <c:catAx>
        <c:axId val="3563591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6369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6369152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635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33867710946582"/>
          <c:y val="3.9473684210526314E-2"/>
          <c:w val="0.85463868322829351"/>
          <c:h val="0.752631578947368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Text!$V$387</c:f>
              <c:strCache>
                <c:ptCount val="1"/>
                <c:pt idx="0">
                  <c:v>Restw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F9-4699-9EEB-100603B8D8B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Text!$S$388:$U$392</c:f>
              <c:multiLvlStrCache>
                <c:ptCount val="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</c:lvl>
                <c:lvl>
                  <c:pt idx="0">
                    <c:v>3000 h</c:v>
                  </c:pt>
                  <c:pt idx="1">
                    <c:v>2000 h</c:v>
                  </c:pt>
                  <c:pt idx="2">
                    <c:v>1500 h</c:v>
                  </c:pt>
                  <c:pt idx="3">
                    <c:v>2500 h</c:v>
                  </c:pt>
                  <c:pt idx="4">
                    <c:v>1000 h</c:v>
                  </c:pt>
                </c:lvl>
                <c:lvl>
                  <c:pt idx="0">
                    <c:v>30%</c:v>
                  </c:pt>
                  <c:pt idx="1">
                    <c:v>20%</c:v>
                  </c:pt>
                  <c:pt idx="2">
                    <c:v>15%</c:v>
                  </c:pt>
                  <c:pt idx="3">
                    <c:v>25%</c:v>
                  </c:pt>
                  <c:pt idx="4">
                    <c:v>10%</c:v>
                  </c:pt>
                </c:lvl>
              </c:multiLvlStrCache>
            </c:multiLvlStrRef>
          </c:cat>
          <c:val>
            <c:numRef>
              <c:f>Text!$V$388:$V$392</c:f>
              <c:numCache>
                <c:formatCode>#,##0</c:formatCode>
                <c:ptCount val="5"/>
                <c:pt idx="0">
                  <c:v>70000</c:v>
                </c:pt>
                <c:pt idx="1">
                  <c:v>50000</c:v>
                </c:pt>
                <c:pt idx="2">
                  <c:v>35000</c:v>
                </c:pt>
                <c:pt idx="3">
                  <c:v>10000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F9-4699-9EEB-100603B8D8B2}"/>
            </c:ext>
          </c:extLst>
        </c:ser>
        <c:ser>
          <c:idx val="1"/>
          <c:order val="1"/>
          <c:tx>
            <c:strRef>
              <c:f>Text!$W$387</c:f>
              <c:strCache>
                <c:ptCount val="1"/>
                <c:pt idx="0">
                  <c:v>j AfA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ysDash"/>
            </a:ln>
          </c:spPr>
          <c:invertIfNegative val="0"/>
          <c:dLbls>
            <c:dLbl>
              <c:idx val="7"/>
              <c:layout>
                <c:manualLayout>
                  <c:xMode val="edge"/>
                  <c:yMode val="edge"/>
                  <c:x val="0.78947561647188402"/>
                  <c:y val="0.5894736842105262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F9-4699-9EEB-100603B8D8B2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79198188827020743"/>
                  <c:y val="0.5894736842105262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F9-4699-9EEB-100603B8D8B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Text!$S$388:$U$392</c:f>
              <c:multiLvlStrCache>
                <c:ptCount val="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</c:lvl>
                <c:lvl>
                  <c:pt idx="0">
                    <c:v>3000 h</c:v>
                  </c:pt>
                  <c:pt idx="1">
                    <c:v>2000 h</c:v>
                  </c:pt>
                  <c:pt idx="2">
                    <c:v>1500 h</c:v>
                  </c:pt>
                  <c:pt idx="3">
                    <c:v>2500 h</c:v>
                  </c:pt>
                  <c:pt idx="4">
                    <c:v>1000 h</c:v>
                  </c:pt>
                </c:lvl>
                <c:lvl>
                  <c:pt idx="0">
                    <c:v>30%</c:v>
                  </c:pt>
                  <c:pt idx="1">
                    <c:v>20%</c:v>
                  </c:pt>
                  <c:pt idx="2">
                    <c:v>15%</c:v>
                  </c:pt>
                  <c:pt idx="3">
                    <c:v>25%</c:v>
                  </c:pt>
                  <c:pt idx="4">
                    <c:v>10%</c:v>
                  </c:pt>
                </c:lvl>
              </c:multiLvlStrCache>
            </c:multiLvlStrRef>
          </c:cat>
          <c:val>
            <c:numRef>
              <c:f>Text!$W$388:$W$392</c:f>
              <c:numCache>
                <c:formatCode>#,##0</c:formatCode>
                <c:ptCount val="5"/>
                <c:pt idx="0">
                  <c:v>30000</c:v>
                </c:pt>
                <c:pt idx="1">
                  <c:v>20000</c:v>
                </c:pt>
                <c:pt idx="2">
                  <c:v>15000</c:v>
                </c:pt>
                <c:pt idx="3">
                  <c:v>25000</c:v>
                </c:pt>
                <c:pt idx="4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F9-4699-9EEB-100603B8D8B2}"/>
            </c:ext>
          </c:extLst>
        </c:ser>
        <c:ser>
          <c:idx val="2"/>
          <c:order val="2"/>
          <c:tx>
            <c:strRef>
              <c:f>Text!$X$387</c:f>
              <c:strCache>
                <c:ptCount val="1"/>
                <c:pt idx="0">
                  <c:v>Su AfA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F9-4699-9EEB-100603B8D8B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Text!$S$388:$U$392</c:f>
              <c:multiLvlStrCache>
                <c:ptCount val="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</c:lvl>
                <c:lvl>
                  <c:pt idx="0">
                    <c:v>3000 h</c:v>
                  </c:pt>
                  <c:pt idx="1">
                    <c:v>2000 h</c:v>
                  </c:pt>
                  <c:pt idx="2">
                    <c:v>1500 h</c:v>
                  </c:pt>
                  <c:pt idx="3">
                    <c:v>2500 h</c:v>
                  </c:pt>
                  <c:pt idx="4">
                    <c:v>1000 h</c:v>
                  </c:pt>
                </c:lvl>
                <c:lvl>
                  <c:pt idx="0">
                    <c:v>30%</c:v>
                  </c:pt>
                  <c:pt idx="1">
                    <c:v>20%</c:v>
                  </c:pt>
                  <c:pt idx="2">
                    <c:v>15%</c:v>
                  </c:pt>
                  <c:pt idx="3">
                    <c:v>25%</c:v>
                  </c:pt>
                  <c:pt idx="4">
                    <c:v>10%</c:v>
                  </c:pt>
                </c:lvl>
              </c:multiLvlStrCache>
            </c:multiLvlStrRef>
          </c:cat>
          <c:val>
            <c:numRef>
              <c:f>Text!$X$388:$X$392</c:f>
              <c:numCache>
                <c:formatCode>#,##0</c:formatCode>
                <c:ptCount val="5"/>
                <c:pt idx="0">
                  <c:v>0</c:v>
                </c:pt>
                <c:pt idx="1">
                  <c:v>30000</c:v>
                </c:pt>
                <c:pt idx="2">
                  <c:v>50000</c:v>
                </c:pt>
                <c:pt idx="3">
                  <c:v>65000</c:v>
                </c:pt>
                <c:pt idx="4">
                  <c:v>90000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F9-4699-9EEB-100603B8D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356240000"/>
        <c:axId val="356262272"/>
      </c:barChart>
      <c:catAx>
        <c:axId val="3562400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6262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6262272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6240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00016479512303"/>
          <c:y val="4.6439628482972138E-2"/>
          <c:w val="0.8550010437024459"/>
          <c:h val="0.857585139318885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Text!$L$140</c:f>
              <c:strCache>
                <c:ptCount val="1"/>
                <c:pt idx="0">
                  <c:v>wert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5E-4329-8D83-98122EF32ED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Text!$K$141:$K$145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Text!$L$141:$L$145</c:f>
              <c:numCache>
                <c:formatCode>#,##0</c:formatCode>
                <c:ptCount val="5"/>
                <c:pt idx="0">
                  <c:v>80000</c:v>
                </c:pt>
                <c:pt idx="1">
                  <c:v>60000</c:v>
                </c:pt>
                <c:pt idx="2">
                  <c:v>40000</c:v>
                </c:pt>
                <c:pt idx="3">
                  <c:v>20000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5E-4329-8D83-98122EF32ED9}"/>
            </c:ext>
          </c:extLst>
        </c:ser>
        <c:ser>
          <c:idx val="1"/>
          <c:order val="1"/>
          <c:tx>
            <c:strRef>
              <c:f>Text!$M$140</c:f>
              <c:strCache>
                <c:ptCount val="1"/>
                <c:pt idx="0">
                  <c:v>AfA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ysDash"/>
            </a:ln>
          </c:spPr>
          <c:invertIfNegative val="0"/>
          <c:dLbls>
            <c:dLbl>
              <c:idx val="7"/>
              <c:layout>
                <c:manualLayout>
                  <c:xMode val="edge"/>
                  <c:yMode val="edge"/>
                  <c:x val="0.78750096130488445"/>
                  <c:y val="0.6934984520123839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5E-4329-8D83-98122EF32ED9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79000096435664591"/>
                  <c:y val="0.6934984520123839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5E-4329-8D83-98122EF32ED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Text!$K$141:$K$145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Text!$M$141:$M$145</c:f>
              <c:numCache>
                <c:formatCode>#,##0</c:formatCode>
                <c:ptCount val="5"/>
                <c:pt idx="0">
                  <c:v>20000</c:v>
                </c:pt>
                <c:pt idx="1">
                  <c:v>20000</c:v>
                </c:pt>
                <c:pt idx="2">
                  <c:v>20000</c:v>
                </c:pt>
                <c:pt idx="3">
                  <c:v>20000</c:v>
                </c:pt>
                <c:pt idx="4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5E-4329-8D83-98122EF32ED9}"/>
            </c:ext>
          </c:extLst>
        </c:ser>
        <c:ser>
          <c:idx val="2"/>
          <c:order val="2"/>
          <c:tx>
            <c:strRef>
              <c:f>Text!$N$140</c:f>
              <c:strCache>
                <c:ptCount val="1"/>
                <c:pt idx="0">
                  <c:v>AfA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5E-4329-8D83-98122EF32ED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Text!$K$141:$K$145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Text!$N$141:$N$145</c:f>
              <c:numCache>
                <c:formatCode>#,##0</c:formatCode>
                <c:ptCount val="5"/>
                <c:pt idx="1">
                  <c:v>20000</c:v>
                </c:pt>
                <c:pt idx="2">
                  <c:v>40000</c:v>
                </c:pt>
                <c:pt idx="3">
                  <c:v>60000</c:v>
                </c:pt>
                <c:pt idx="4">
                  <c:v>80000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5E-4329-8D83-98122EF32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356305152"/>
        <c:axId val="356777984"/>
      </c:barChart>
      <c:catAx>
        <c:axId val="3563051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6777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6777984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6305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"/>
          <c:y val="8.5714524873116274E-2"/>
          <c:w val="0.81538461538461537"/>
          <c:h val="0.77590490142220592"/>
        </c:manualLayout>
      </c:layout>
      <c:areaChart>
        <c:grouping val="stacked"/>
        <c:varyColors val="0"/>
        <c:ser>
          <c:idx val="0"/>
          <c:order val="0"/>
          <c:tx>
            <c:strRef>
              <c:f>Text!$V$525</c:f>
              <c:strCache>
                <c:ptCount val="1"/>
                <c:pt idx="0">
                  <c:v>RestW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Text!$W$524:$X$524</c:f>
              <c:strCache>
                <c:ptCount val="2"/>
                <c:pt idx="0">
                  <c:v>0</c:v>
                </c:pt>
                <c:pt idx="1">
                  <c:v>N</c:v>
                </c:pt>
              </c:strCache>
            </c:strRef>
          </c:cat>
          <c:val>
            <c:numRef>
              <c:f>Text!$W$525:$X$525</c:f>
              <c:numCache>
                <c:formatCode>General</c:formatCode>
                <c:ptCount val="2"/>
                <c:pt idx="0">
                  <c:v>200</c:v>
                </c:pt>
                <c:pt idx="1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DD-45F8-A2F4-BEDC32CE3093}"/>
            </c:ext>
          </c:extLst>
        </c:ser>
        <c:ser>
          <c:idx val="1"/>
          <c:order val="1"/>
          <c:tx>
            <c:strRef>
              <c:f>Text!$V$526</c:f>
              <c:strCache>
                <c:ptCount val="1"/>
                <c:pt idx="0">
                  <c:v>BuW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Text!$W$524:$X$524</c:f>
              <c:strCache>
                <c:ptCount val="2"/>
                <c:pt idx="0">
                  <c:v>0</c:v>
                </c:pt>
                <c:pt idx="1">
                  <c:v>N</c:v>
                </c:pt>
              </c:strCache>
            </c:strRef>
          </c:cat>
          <c:val>
            <c:numRef>
              <c:f>Text!$W$526:$X$526</c:f>
              <c:numCache>
                <c:formatCode>General</c:formatCode>
                <c:ptCount val="2"/>
                <c:pt idx="0">
                  <c:v>800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DD-45F8-A2F4-BEDC32CE3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852864"/>
        <c:axId val="356854400"/>
      </c:areaChart>
      <c:lineChart>
        <c:grouping val="standard"/>
        <c:varyColors val="0"/>
        <c:ser>
          <c:idx val="2"/>
          <c:order val="2"/>
          <c:tx>
            <c:strRef>
              <c:f>Text!$V$527</c:f>
              <c:strCache>
                <c:ptCount val="1"/>
                <c:pt idx="0">
                  <c:v>Ø Anl.-W.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Text!$W$524:$X$524</c:f>
              <c:strCache>
                <c:ptCount val="2"/>
                <c:pt idx="0">
                  <c:v>0</c:v>
                </c:pt>
                <c:pt idx="1">
                  <c:v>N</c:v>
                </c:pt>
              </c:strCache>
            </c:strRef>
          </c:cat>
          <c:val>
            <c:numRef>
              <c:f>Text!$W$527:$X$527</c:f>
              <c:numCache>
                <c:formatCode>General</c:formatCode>
                <c:ptCount val="2"/>
                <c:pt idx="0">
                  <c:v>600</c:v>
                </c:pt>
                <c:pt idx="1">
                  <c:v>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DD-45F8-A2F4-BEDC32CE3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852864"/>
        <c:axId val="356854400"/>
      </c:lineChart>
      <c:catAx>
        <c:axId val="356852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685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6854400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685286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"/>
          <c:y val="8.5714524873116274E-2"/>
          <c:w val="0.81538461538461537"/>
          <c:h val="0.77590490142220592"/>
        </c:manualLayout>
      </c:layout>
      <c:areaChart>
        <c:grouping val="stacked"/>
        <c:varyColors val="0"/>
        <c:ser>
          <c:idx val="0"/>
          <c:order val="0"/>
          <c:tx>
            <c:strRef>
              <c:f>Text!$V$520</c:f>
              <c:strCache>
                <c:ptCount val="1"/>
                <c:pt idx="0">
                  <c:v>RestW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Text!$W$519:$X$519</c:f>
              <c:strCache>
                <c:ptCount val="2"/>
                <c:pt idx="0">
                  <c:v>0</c:v>
                </c:pt>
                <c:pt idx="1">
                  <c:v>N</c:v>
                </c:pt>
              </c:strCache>
            </c:strRef>
          </c:cat>
          <c:val>
            <c:numRef>
              <c:f>Text!$W$520:$X$520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E2-4523-BAB4-D71503A10353}"/>
            </c:ext>
          </c:extLst>
        </c:ser>
        <c:ser>
          <c:idx val="1"/>
          <c:order val="1"/>
          <c:tx>
            <c:strRef>
              <c:f>Text!$V$521</c:f>
              <c:strCache>
                <c:ptCount val="1"/>
                <c:pt idx="0">
                  <c:v>BuW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Text!$W$519:$X$519</c:f>
              <c:strCache>
                <c:ptCount val="2"/>
                <c:pt idx="0">
                  <c:v>0</c:v>
                </c:pt>
                <c:pt idx="1">
                  <c:v>N</c:v>
                </c:pt>
              </c:strCache>
            </c:strRef>
          </c:cat>
          <c:val>
            <c:numRef>
              <c:f>Text!$W$521:$X$521</c:f>
              <c:numCache>
                <c:formatCode>General</c:formatCode>
                <c:ptCount val="2"/>
                <c:pt idx="0">
                  <c:v>1000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E2-4523-BAB4-D71503A10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888576"/>
        <c:axId val="356890112"/>
      </c:areaChart>
      <c:lineChart>
        <c:grouping val="standard"/>
        <c:varyColors val="0"/>
        <c:ser>
          <c:idx val="2"/>
          <c:order val="2"/>
          <c:tx>
            <c:strRef>
              <c:f>Text!$V$522</c:f>
              <c:strCache>
                <c:ptCount val="1"/>
                <c:pt idx="0">
                  <c:v>Ø Anl.-W.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Text!$W$519:$X$519</c:f>
              <c:strCache>
                <c:ptCount val="2"/>
                <c:pt idx="0">
                  <c:v>0</c:v>
                </c:pt>
                <c:pt idx="1">
                  <c:v>N</c:v>
                </c:pt>
              </c:strCache>
            </c:strRef>
          </c:cat>
          <c:val>
            <c:numRef>
              <c:f>Text!$W$522:$X$522</c:f>
              <c:numCache>
                <c:formatCode>General</c:formatCode>
                <c:ptCount val="2"/>
                <c:pt idx="0">
                  <c:v>500</c:v>
                </c:pt>
                <c:pt idx="1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E2-4523-BAB4-D71503A10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888576"/>
        <c:axId val="356890112"/>
      </c:lineChart>
      <c:catAx>
        <c:axId val="356888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6890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6890112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688857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44208243924066E-2"/>
          <c:y val="6.0975851815976784E-2"/>
          <c:w val="0.89463768902225704"/>
          <c:h val="0.81301135754635712"/>
        </c:manualLayout>
      </c:layout>
      <c:lineChart>
        <c:grouping val="standard"/>
        <c:varyColors val="0"/>
        <c:ser>
          <c:idx val="0"/>
          <c:order val="0"/>
          <c:tx>
            <c:strRef>
              <c:f>'Digitale AfA'!$J$10</c:f>
              <c:strCache>
                <c:ptCount val="1"/>
                <c:pt idx="0">
                  <c:v>34,0%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'Digitale AfA'!$I$11:$I$60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'Digitale AfA'!$J$11:$J$60</c:f>
              <c:numCache>
                <c:formatCode>0.0%</c:formatCode>
                <c:ptCount val="50"/>
                <c:pt idx="0">
                  <c:v>0.5</c:v>
                </c:pt>
                <c:pt idx="1">
                  <c:v>0.44444444444444448</c:v>
                </c:pt>
                <c:pt idx="2">
                  <c:v>0.41666666666666674</c:v>
                </c:pt>
                <c:pt idx="3">
                  <c:v>0.4</c:v>
                </c:pt>
                <c:pt idx="4">
                  <c:v>0.3888888888888889</c:v>
                </c:pt>
                <c:pt idx="5">
                  <c:v>0.38095238095238099</c:v>
                </c:pt>
                <c:pt idx="6">
                  <c:v>0.37500000000000006</c:v>
                </c:pt>
                <c:pt idx="7">
                  <c:v>0.37037037037037052</c:v>
                </c:pt>
                <c:pt idx="8">
                  <c:v>0.36666666666666664</c:v>
                </c:pt>
                <c:pt idx="9">
                  <c:v>0.36363636363636376</c:v>
                </c:pt>
                <c:pt idx="10">
                  <c:v>0.36111111111111116</c:v>
                </c:pt>
                <c:pt idx="11">
                  <c:v>0.35897435897435886</c:v>
                </c:pt>
                <c:pt idx="12">
                  <c:v>0.35714285714285704</c:v>
                </c:pt>
                <c:pt idx="13">
                  <c:v>0.35555555555555546</c:v>
                </c:pt>
                <c:pt idx="14">
                  <c:v>0.35416666666666674</c:v>
                </c:pt>
                <c:pt idx="15">
                  <c:v>0.35294117647058826</c:v>
                </c:pt>
                <c:pt idx="16">
                  <c:v>0.35185185185185197</c:v>
                </c:pt>
                <c:pt idx="17">
                  <c:v>0.35087719298245601</c:v>
                </c:pt>
                <c:pt idx="18">
                  <c:v>0.35000000000000009</c:v>
                </c:pt>
                <c:pt idx="19">
                  <c:v>0.34920634920634935</c:v>
                </c:pt>
                <c:pt idx="20">
                  <c:v>0.34848484848484856</c:v>
                </c:pt>
                <c:pt idx="21">
                  <c:v>0.34782608695652178</c:v>
                </c:pt>
                <c:pt idx="22">
                  <c:v>0.34722222222222227</c:v>
                </c:pt>
                <c:pt idx="23">
                  <c:v>0.34666666666666673</c:v>
                </c:pt>
                <c:pt idx="24">
                  <c:v>0.34615384615384615</c:v>
                </c:pt>
                <c:pt idx="25">
                  <c:v>0.34567901234567894</c:v>
                </c:pt>
                <c:pt idx="26">
                  <c:v>0.34523809523809512</c:v>
                </c:pt>
                <c:pt idx="27">
                  <c:v>0.34482758620689646</c:v>
                </c:pt>
                <c:pt idx="28">
                  <c:v>0.34444444444444444</c:v>
                </c:pt>
                <c:pt idx="29">
                  <c:v>0.34408602150537632</c:v>
                </c:pt>
                <c:pt idx="30">
                  <c:v>0.34375000000000006</c:v>
                </c:pt>
                <c:pt idx="31">
                  <c:v>0.34343434343434348</c:v>
                </c:pt>
                <c:pt idx="32">
                  <c:v>0.34313725490196084</c:v>
                </c:pt>
                <c:pt idx="33">
                  <c:v>0.3428571428571428</c:v>
                </c:pt>
                <c:pt idx="34">
                  <c:v>0.3425925925925925</c:v>
                </c:pt>
                <c:pt idx="35">
                  <c:v>0.34234234234234229</c:v>
                </c:pt>
                <c:pt idx="36">
                  <c:v>0.34210526315789463</c:v>
                </c:pt>
                <c:pt idx="37">
                  <c:v>0.34188034188034216</c:v>
                </c:pt>
                <c:pt idx="38">
                  <c:v>0.34166666666666673</c:v>
                </c:pt>
                <c:pt idx="39">
                  <c:v>0.34146341463414626</c:v>
                </c:pt>
                <c:pt idx="40">
                  <c:v>0.34126984126984111</c:v>
                </c:pt>
                <c:pt idx="41">
                  <c:v>0.3410852713178294</c:v>
                </c:pt>
                <c:pt idx="42">
                  <c:v>0.34090909090909083</c:v>
                </c:pt>
                <c:pt idx="43">
                  <c:v>0.34074074074074057</c:v>
                </c:pt>
                <c:pt idx="44">
                  <c:v>0.34057971014492761</c:v>
                </c:pt>
                <c:pt idx="45">
                  <c:v>0.34042553191489372</c:v>
                </c:pt>
                <c:pt idx="46">
                  <c:v>0.3402777777777779</c:v>
                </c:pt>
                <c:pt idx="47">
                  <c:v>0.34013605442176864</c:v>
                </c:pt>
                <c:pt idx="48">
                  <c:v>0.34000000000000008</c:v>
                </c:pt>
                <c:pt idx="49">
                  <c:v>0.33986928104575154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43-4E38-BA9E-A15E281A5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590336"/>
        <c:axId val="356591872"/>
      </c:lineChart>
      <c:catAx>
        <c:axId val="35659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6591872"/>
        <c:crossesAt val="0"/>
        <c:auto val="1"/>
        <c:lblAlgn val="ctr"/>
        <c:lblOffset val="100"/>
        <c:tickLblSkip val="3"/>
        <c:tickMarkSkip val="1"/>
        <c:noMultiLvlLbl val="0"/>
      </c:catAx>
      <c:valAx>
        <c:axId val="356591872"/>
        <c:scaling>
          <c:orientation val="minMax"/>
          <c:max val="0.5"/>
          <c:min val="0.3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6590336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8358569601097"/>
          <c:y val="7.5757949405921551E-2"/>
          <c:w val="0.8253438458901533"/>
          <c:h val="0.76768055398000501"/>
        </c:manualLayout>
      </c:layout>
      <c:areaChart>
        <c:grouping val="stacked"/>
        <c:varyColors val="0"/>
        <c:ser>
          <c:idx val="1"/>
          <c:order val="0"/>
          <c:tx>
            <c:strRef>
              <c:f>Text!$E$646</c:f>
              <c:strCache>
                <c:ptCount val="1"/>
              </c:strCache>
            </c:strRef>
          </c:tx>
          <c:spPr>
            <a:pattFill prst="dashHorz">
              <a:fgClr>
                <a:srgbClr xmlns:mc="http://schemas.openxmlformats.org/markup-compatibility/2006" xmlns:a14="http://schemas.microsoft.com/office/drawing/2010/main" val="3333CC" mc:Ignorable="a14" a14:legacySpreadsheetColorIndex="56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Text!$H$641:$M$641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Text!$H$646:$M$646</c:f>
              <c:numCache>
                <c:formatCode>#,##0</c:formatCode>
                <c:ptCount val="6"/>
                <c:pt idx="0">
                  <c:v>40000</c:v>
                </c:pt>
                <c:pt idx="1">
                  <c:v>32000</c:v>
                </c:pt>
                <c:pt idx="2">
                  <c:v>24000</c:v>
                </c:pt>
                <c:pt idx="3">
                  <c:v>16000</c:v>
                </c:pt>
                <c:pt idx="4">
                  <c:v>8000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15-41EC-82E6-9C16BB232B34}"/>
            </c:ext>
          </c:extLst>
        </c:ser>
        <c:ser>
          <c:idx val="0"/>
          <c:order val="1"/>
          <c:tx>
            <c:strRef>
              <c:f>Text!$E$644</c:f>
              <c:strCache>
                <c:ptCount val="1"/>
              </c:strCache>
            </c:strRef>
          </c:tx>
          <c:spPr>
            <a:pattFill prst="dashVert">
              <a:fgClr>
                <a:srgbClr xmlns:mc="http://schemas.openxmlformats.org/markup-compatibility/2006" xmlns:a14="http://schemas.microsoft.com/office/drawing/2010/main" val="FF0000" mc:Ignorable="a14" a14:legacySpreadsheetColorIndex="10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Text!$H$641:$M$641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Text!$H$644:$M$644</c:f>
              <c:numCache>
                <c:formatCode>#,##0</c:formatCode>
                <c:ptCount val="6"/>
                <c:pt idx="0">
                  <c:v>60000</c:v>
                </c:pt>
                <c:pt idx="1">
                  <c:v>48000</c:v>
                </c:pt>
                <c:pt idx="2">
                  <c:v>36000</c:v>
                </c:pt>
                <c:pt idx="3">
                  <c:v>24000</c:v>
                </c:pt>
                <c:pt idx="4">
                  <c:v>12000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15-41EC-82E6-9C16BB232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633600"/>
        <c:axId val="356639488"/>
      </c:areaChart>
      <c:catAx>
        <c:axId val="35663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6639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6639488"/>
        <c:scaling>
          <c:orientation val="minMax"/>
          <c:max val="1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6633600"/>
        <c:crosses val="autoZero"/>
        <c:crossBetween val="midCat"/>
        <c:majorUnit val="20000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9512594135188"/>
          <c:y val="4.5871696625623043E-2"/>
          <c:w val="0.71581345947987507"/>
          <c:h val="0.77370261641884208"/>
        </c:manualLayout>
      </c:layout>
      <c:lineChart>
        <c:grouping val="standard"/>
        <c:varyColors val="0"/>
        <c:ser>
          <c:idx val="9"/>
          <c:order val="0"/>
          <c:tx>
            <c:strRef>
              <c:f>Text!$F$1079</c:f>
              <c:strCache>
                <c:ptCount val="1"/>
                <c:pt idx="0">
                  <c:v>90%</c:v>
                </c:pt>
              </c:strCache>
            </c:strRef>
          </c:tx>
          <c:spPr>
            <a:ln w="12700">
              <a:solidFill>
                <a:srgbClr val="69FFFF"/>
              </a:solidFill>
              <a:prstDash val="solid"/>
            </a:ln>
          </c:spPr>
          <c:marker>
            <c:symbol val="none"/>
          </c:marker>
          <c:cat>
            <c:numRef>
              <c:f>Text!$G$1069:$P$1069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cat>
          <c:val>
            <c:numRef>
              <c:f>Text!$G$1079:$P$1079</c:f>
              <c:numCache>
                <c:formatCode>0.00;;;</c:formatCode>
                <c:ptCount val="10"/>
                <c:pt idx="9">
                  <c:v>1.4618503175453759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97-4659-99CC-F87BD781A775}"/>
            </c:ext>
          </c:extLst>
        </c:ser>
        <c:ser>
          <c:idx val="8"/>
          <c:order val="1"/>
          <c:tx>
            <c:strRef>
              <c:f>Text!$F$1078</c:f>
              <c:strCache>
                <c:ptCount val="1"/>
                <c:pt idx="0">
                  <c:v>80%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numRef>
              <c:f>Text!$G$1069:$P$1069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cat>
          <c:val>
            <c:numRef>
              <c:f>Text!$G$1078:$P$1078</c:f>
              <c:numCache>
                <c:formatCode>0.00;;;</c:formatCode>
                <c:ptCount val="10"/>
                <c:pt idx="8">
                  <c:v>1.3827321544552975</c:v>
                </c:pt>
                <c:pt idx="9">
                  <c:v>1.4222912360003368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97-4659-99CC-F87BD781A775}"/>
            </c:ext>
          </c:extLst>
        </c:ser>
        <c:ser>
          <c:idx val="7"/>
          <c:order val="2"/>
          <c:tx>
            <c:strRef>
              <c:f>Text!$F$1077</c:f>
              <c:strCache>
                <c:ptCount val="1"/>
                <c:pt idx="0">
                  <c:v>70%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Text!$G$1069:$P$1069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cat>
          <c:val>
            <c:numRef>
              <c:f>Text!$G$1077:$P$1077</c:f>
              <c:numCache>
                <c:formatCode>0.00;;;</c:formatCode>
                <c:ptCount val="10"/>
                <c:pt idx="7">
                  <c:v>1.2987973422607979</c:v>
                </c:pt>
                <c:pt idx="8">
                  <c:v>1.3407647483580476</c:v>
                </c:pt>
                <c:pt idx="9">
                  <c:v>1.3811266047538238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97-4659-99CC-F87BD781A775}"/>
            </c:ext>
          </c:extLst>
        </c:ser>
        <c:ser>
          <c:idx val="6"/>
          <c:order val="3"/>
          <c:tx>
            <c:strRef>
              <c:f>Text!$F$1076</c:f>
              <c:strCache>
                <c:ptCount val="1"/>
                <c:pt idx="0">
                  <c:v>60%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numRef>
              <c:f>Text!$G$1069:$P$1069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cat>
          <c:val>
            <c:numRef>
              <c:f>Text!$G$1076:$P$1076</c:f>
              <c:numCache>
                <c:formatCode>0.00;;;</c:formatCode>
                <c:ptCount val="10"/>
                <c:pt idx="6">
                  <c:v>1.2090401702896283</c:v>
                </c:pt>
                <c:pt idx="7">
                  <c:v>1.2539187562752132</c:v>
                </c:pt>
                <c:pt idx="8">
                  <c:v>1.2968565556685745</c:v>
                </c:pt>
                <c:pt idx="9">
                  <c:v>1.3381049961377749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97-4659-99CC-F87BD781A775}"/>
            </c:ext>
          </c:extLst>
        </c:ser>
        <c:ser>
          <c:idx val="5"/>
          <c:order val="4"/>
          <c:tx>
            <c:strRef>
              <c:f>Text!$F$1075</c:f>
              <c:strCache>
                <c:ptCount val="1"/>
                <c:pt idx="0">
                  <c:v>50%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Text!$G$1069:$P$1069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cat>
          <c:val>
            <c:numRef>
              <c:f>Text!$G$1075:$P$1075</c:f>
              <c:numCache>
                <c:formatCode>0.00;;;</c:formatCode>
                <c:ptCount val="10"/>
                <c:pt idx="5">
                  <c:v>1.1120461095161629</c:v>
                </c:pt>
                <c:pt idx="6">
                  <c:v>1.1605431399028956</c:v>
                </c:pt>
                <c:pt idx="7">
                  <c:v>1.2066278740221965</c:v>
                </c:pt>
                <c:pt idx="8">
                  <c:v>1.2506539441304716</c:v>
                </c:pt>
                <c:pt idx="9">
                  <c:v>1.2928932188134525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97-4659-99CC-F87BD781A775}"/>
            </c:ext>
          </c:extLst>
        </c:ser>
        <c:ser>
          <c:idx val="4"/>
          <c:order val="5"/>
          <c:tx>
            <c:strRef>
              <c:f>Text!$F$1074</c:f>
              <c:strCache>
                <c:ptCount val="1"/>
                <c:pt idx="0">
                  <c:v>40%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Text!$G$1069:$P$1069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cat>
          <c:val>
            <c:numRef>
              <c:f>Text!$G$1074:$P$1074</c:f>
              <c:numCache>
                <c:formatCode>0.00;;;</c:formatCode>
                <c:ptCount val="10"/>
                <c:pt idx="4">
                  <c:v>1.0057117777980331</c:v>
                </c:pt>
                <c:pt idx="5">
                  <c:v>1.058878943657098</c:v>
                </c:pt>
                <c:pt idx="6">
                  <c:v>1.1089326858679414</c:v>
                </c:pt>
                <c:pt idx="7">
                  <c:v>1.1563988499661555</c:v>
                </c:pt>
                <c:pt idx="8">
                  <c:v>1.201665510863984</c:v>
                </c:pt>
                <c:pt idx="9">
                  <c:v>1.2450296453108827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97-4659-99CC-F87BD781A775}"/>
            </c:ext>
          </c:extLst>
        </c:ser>
        <c:ser>
          <c:idx val="3"/>
          <c:order val="6"/>
          <c:tx>
            <c:strRef>
              <c:f>Text!$F$1073</c:f>
              <c:strCache>
                <c:ptCount val="1"/>
                <c:pt idx="0">
                  <c:v>30%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Text!$G$1069:$P$1069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cat>
          <c:val>
            <c:numRef>
              <c:f>Text!$G$1073:$P$1073</c:f>
              <c:numCache>
                <c:formatCode>0.00;;;</c:formatCode>
                <c:ptCount val="10"/>
                <c:pt idx="3">
                  <c:v>0.88665445561920653</c:v>
                </c:pt>
                <c:pt idx="4">
                  <c:v>0.94618311670861988</c:v>
                </c:pt>
                <c:pt idx="5">
                  <c:v>1.001470780977801</c:v>
                </c:pt>
                <c:pt idx="6">
                  <c:v>1.0533631283057576</c:v>
                </c:pt>
                <c:pt idx="7">
                  <c:v>1.1024499710967659</c:v>
                </c:pt>
                <c:pt idx="8">
                  <c:v>1.1491636683231876</c:v>
                </c:pt>
                <c:pt idx="9">
                  <c:v>1.1938331896406433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397-4659-99CC-F87BD781A775}"/>
            </c:ext>
          </c:extLst>
        </c:ser>
        <c:ser>
          <c:idx val="2"/>
          <c:order val="7"/>
          <c:tx>
            <c:strRef>
              <c:f>Text!$F$1072</c:f>
              <c:strCache>
                <c:ptCount val="1"/>
                <c:pt idx="0">
                  <c:v>20%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Text!$G$1069:$P$1069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cat>
          <c:val>
            <c:numRef>
              <c:f>Text!$G$1072:$P$1072</c:f>
              <c:numCache>
                <c:formatCode>0.00;;;</c:formatCode>
                <c:ptCount val="10"/>
                <c:pt idx="2">
                  <c:v>0.74874048151558192</c:v>
                </c:pt>
                <c:pt idx="3">
                  <c:v>0.81769746856739434</c:v>
                </c:pt>
                <c:pt idx="4">
                  <c:v>0.88036890497760723</c:v>
                </c:pt>
                <c:pt idx="5">
                  <c:v>0.93828820611224617</c:v>
                </c:pt>
                <c:pt idx="6">
                  <c:v>0.99243859894772257</c:v>
                </c:pt>
                <c:pt idx="7">
                  <c:v>1.0434983894999017</c:v>
                </c:pt>
                <c:pt idx="8">
                  <c:v>1.0919603559221014</c:v>
                </c:pt>
                <c:pt idx="9">
                  <c:v>1.1381966011250104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397-4659-99CC-F87BD781A775}"/>
            </c:ext>
          </c:extLst>
        </c:ser>
        <c:ser>
          <c:idx val="1"/>
          <c:order val="8"/>
          <c:tx>
            <c:strRef>
              <c:f>Text!$F$1071</c:f>
              <c:strCache>
                <c:ptCount val="1"/>
                <c:pt idx="0">
                  <c:v>10%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Text!$G$1069:$P$1069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cat>
          <c:val>
            <c:numRef>
              <c:f>Text!$G$1071:$P$1071</c:f>
              <c:numCache>
                <c:formatCode>0.00;;;</c:formatCode>
                <c:ptCount val="10"/>
                <c:pt idx="1">
                  <c:v>0.57819942498307797</c:v>
                </c:pt>
                <c:pt idx="2">
                  <c:v>0.66346995324932989</c:v>
                </c:pt>
                <c:pt idx="3">
                  <c:v>0.73786478737262207</c:v>
                </c:pt>
                <c:pt idx="4">
                  <c:v>0.80482653497897483</c:v>
                </c:pt>
                <c:pt idx="5">
                  <c:v>0.86627044988641244</c:v>
                </c:pt>
                <c:pt idx="6">
                  <c:v>0.92339873662028171</c:v>
                </c:pt>
                <c:pt idx="7">
                  <c:v>0.97702710885464128</c:v>
                </c:pt>
                <c:pt idx="8">
                  <c:v>1.0277402395547233</c:v>
                </c:pt>
                <c:pt idx="9">
                  <c:v>1.0759746926647957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397-4659-99CC-F87BD781A775}"/>
            </c:ext>
          </c:extLst>
        </c:ser>
        <c:ser>
          <c:idx val="0"/>
          <c:order val="9"/>
          <c:tx>
            <c:strRef>
              <c:f>Text!$F$1070</c:f>
              <c:strCache>
                <c:ptCount val="1"/>
                <c:pt idx="0">
                  <c:v>0%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Text!$G$1069:$P$1069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cat>
          <c:val>
            <c:numRef>
              <c:f>Text!$G$1070:$P$1070</c:f>
              <c:numCache>
                <c:formatCode>0.00;;;</c:formatCode>
                <c:ptCount val="10"/>
                <c:pt idx="0">
                  <c:v>0.31622776601683777</c:v>
                </c:pt>
                <c:pt idx="1">
                  <c:v>0.44721359549995787</c:v>
                </c:pt>
                <c:pt idx="2">
                  <c:v>0.54772255750516585</c:v>
                </c:pt>
                <c:pt idx="3">
                  <c:v>0.6324555320336761</c:v>
                </c:pt>
                <c:pt idx="4">
                  <c:v>0.70710678118654746</c:v>
                </c:pt>
                <c:pt idx="5">
                  <c:v>0.7745966692414834</c:v>
                </c:pt>
                <c:pt idx="6">
                  <c:v>0.83666002653407545</c:v>
                </c:pt>
                <c:pt idx="7">
                  <c:v>0.89442719099991586</c:v>
                </c:pt>
                <c:pt idx="8">
                  <c:v>0.94868329805051377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397-4659-99CC-F87BD781A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754560"/>
        <c:axId val="356756480"/>
      </c:lineChart>
      <c:catAx>
        <c:axId val="356754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Ende der Nutzungsdauer der Maschine in % von n</a:t>
                </a:r>
              </a:p>
            </c:rich>
          </c:tx>
          <c:layout>
            <c:manualLayout>
              <c:xMode val="edge"/>
              <c:yMode val="edge"/>
              <c:x val="0.21581233595800525"/>
              <c:y val="0.9235502840625934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6756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675648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Korrektur-Faktor</a:t>
                </a:r>
              </a:p>
            </c:rich>
          </c:tx>
          <c:layout>
            <c:manualLayout>
              <c:xMode val="edge"/>
              <c:yMode val="edge"/>
              <c:x val="1.0683727034120736E-2"/>
              <c:y val="0.30581148875377923"/>
            </c:manualLayout>
          </c:layout>
          <c:overlay val="0"/>
          <c:spPr>
            <a:noFill/>
            <a:ln w="25400">
              <a:noFill/>
            </a:ln>
          </c:spPr>
        </c:title>
        <c:numFmt formatCode="0.00;;;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67545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00004374453194"/>
          <c:y val="0.12151931957872356"/>
          <c:w val="0.12"/>
          <c:h val="0.4126598890328582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15502341259027"/>
          <c:y val="4.9342184515998463E-2"/>
          <c:w val="0.88204301176947952"/>
          <c:h val="0.80263286812690837"/>
        </c:manualLayout>
      </c:layout>
      <c:lineChart>
        <c:grouping val="standard"/>
        <c:varyColors val="0"/>
        <c:ser>
          <c:idx val="0"/>
          <c:order val="0"/>
          <c:tx>
            <c:strRef>
              <c:f>'Progressive AfA'!$J$6</c:f>
              <c:strCache>
                <c:ptCount val="1"/>
                <c:pt idx="0">
                  <c:v>2,0%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'Progressive AfA'!$K$5:$U$5</c:f>
              <c:numCache>
                <c:formatCode>General_)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'Progressive AfA'!$K$6:$U$6</c:f>
              <c:numCache>
                <c:formatCode>0.00%</c:formatCode>
                <c:ptCount val="11"/>
                <c:pt idx="0">
                  <c:v>0.50659975434675864</c:v>
                </c:pt>
                <c:pt idx="1">
                  <c:v>0.51484217569620194</c:v>
                </c:pt>
                <c:pt idx="2">
                  <c:v>0.52306901173019327</c:v>
                </c:pt>
                <c:pt idx="3">
                  <c:v>0.53127229168049439</c:v>
                </c:pt>
                <c:pt idx="4">
                  <c:v>0.53944415468243823</c:v>
                </c:pt>
                <c:pt idx="5">
                  <c:v>0.54757688516465919</c:v>
                </c:pt>
                <c:pt idx="6">
                  <c:v>0.55566294677257599</c:v>
                </c:pt>
                <c:pt idx="7">
                  <c:v>0.56369501450475612</c:v>
                </c:pt>
                <c:pt idx="8">
                  <c:v>0.5716660047718235</c:v>
                </c:pt>
                <c:pt idx="9">
                  <c:v>0.57956910312238075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6-47BF-8361-FCE4C176AB35}"/>
            </c:ext>
          </c:extLst>
        </c:ser>
        <c:ser>
          <c:idx val="1"/>
          <c:order val="1"/>
          <c:tx>
            <c:strRef>
              <c:f>'Progressive AfA'!$J$7</c:f>
              <c:strCache>
                <c:ptCount val="1"/>
                <c:pt idx="0">
                  <c:v>3,0%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'Progressive AfA'!$K$5:$U$5</c:f>
              <c:numCache>
                <c:formatCode>General_)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'Progressive AfA'!$K$7:$U$7</c:f>
              <c:numCache>
                <c:formatCode>0.00%</c:formatCode>
                <c:ptCount val="11"/>
                <c:pt idx="0">
                  <c:v>0.509849205571556</c:v>
                </c:pt>
                <c:pt idx="1">
                  <c:v>0.52213656379271511</c:v>
                </c:pt>
                <c:pt idx="2">
                  <c:v>0.53437230611316777</c:v>
                </c:pt>
                <c:pt idx="3">
                  <c:v>0.54653039990029006</c:v>
                </c:pt>
                <c:pt idx="4">
                  <c:v>0.55858561022845532</c:v>
                </c:pt>
                <c:pt idx="5">
                  <c:v>0.57051374151352452</c:v>
                </c:pt>
                <c:pt idx="6">
                  <c:v>0.58229185642220582</c:v>
                </c:pt>
                <c:pt idx="7">
                  <c:v>0.59389846798253243</c:v>
                </c:pt>
                <c:pt idx="8">
                  <c:v>0.60531370178550414</c:v>
                </c:pt>
                <c:pt idx="9">
                  <c:v>0.61651942619854627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86-47BF-8361-FCE4C176AB35}"/>
            </c:ext>
          </c:extLst>
        </c:ser>
        <c:ser>
          <c:idx val="2"/>
          <c:order val="2"/>
          <c:tx>
            <c:strRef>
              <c:f>'Progressive AfA'!$J$8</c:f>
              <c:strCache>
                <c:ptCount val="1"/>
                <c:pt idx="0">
                  <c:v>4,0%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'Progressive AfA'!$K$5:$U$5</c:f>
              <c:numCache>
                <c:formatCode>General_)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'Progressive AfA'!$K$8:$U$8</c:f>
              <c:numCache>
                <c:formatCode>0.00%</c:formatCode>
                <c:ptCount val="11"/>
                <c:pt idx="0">
                  <c:v>0.51306486443820654</c:v>
                </c:pt>
                <c:pt idx="1">
                  <c:v>0.5293396438667386</c:v>
                </c:pt>
                <c:pt idx="2">
                  <c:v>0.54549453994468444</c:v>
                </c:pt>
                <c:pt idx="3">
                  <c:v>0.56147024591973538</c:v>
                </c:pt>
                <c:pt idx="4">
                  <c:v>0.57721064390515953</c:v>
                </c:pt>
                <c:pt idx="5">
                  <c:v>0.59266368871761288</c:v>
                </c:pt>
                <c:pt idx="6">
                  <c:v>0.60778214089522231</c:v>
                </c:pt>
                <c:pt idx="7">
                  <c:v>0.62252412986395633</c:v>
                </c:pt>
                <c:pt idx="8">
                  <c:v>0.63685353814184642</c:v>
                </c:pt>
                <c:pt idx="9">
                  <c:v>0.65074020709660607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86-47BF-8361-FCE4C176AB35}"/>
            </c:ext>
          </c:extLst>
        </c:ser>
        <c:ser>
          <c:idx val="3"/>
          <c:order val="3"/>
          <c:tx>
            <c:strRef>
              <c:f>'Progressive AfA'!$J$9</c:f>
              <c:strCache>
                <c:ptCount val="1"/>
                <c:pt idx="0">
                  <c:v>5,0%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'Progressive AfA'!$K$5:$U$5</c:f>
              <c:numCache>
                <c:formatCode>General_)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'Progressive AfA'!$K$9:$U$9</c:f>
              <c:numCache>
                <c:formatCode>0.00%</c:formatCode>
                <c:ptCount val="11"/>
                <c:pt idx="0">
                  <c:v>0.51624663547113592</c:v>
                </c:pt>
                <c:pt idx="1">
                  <c:v>0.53644681755375834</c:v>
                </c:pt>
                <c:pt idx="2">
                  <c:v>0.5564178926733323</c:v>
                </c:pt>
                <c:pt idx="3">
                  <c:v>0.57604927982269194</c:v>
                </c:pt>
                <c:pt idx="4">
                  <c:v>0.5952395634467238</c:v>
                </c:pt>
                <c:pt idx="5">
                  <c:v>0.61389874348922457</c:v>
                </c:pt>
                <c:pt idx="6">
                  <c:v>0.63194986282207966</c:v>
                </c:pt>
                <c:pt idx="7">
                  <c:v>0.64932997397141456</c:v>
                </c:pt>
                <c:pt idx="8">
                  <c:v>0.66599046058995048</c:v>
                </c:pt>
                <c:pt idx="9">
                  <c:v>0.68189677423012829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86-47BF-8361-FCE4C176AB35}"/>
            </c:ext>
          </c:extLst>
        </c:ser>
        <c:ser>
          <c:idx val="4"/>
          <c:order val="4"/>
          <c:tx>
            <c:strRef>
              <c:f>'Progressive AfA'!$J$10</c:f>
              <c:strCache>
                <c:ptCount val="1"/>
                <c:pt idx="0">
                  <c:v>6,0%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'Progressive AfA'!$K$5:$U$5</c:f>
              <c:numCache>
                <c:formatCode>General_)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'Progressive AfA'!$K$10:$U$10</c:f>
              <c:numCache>
                <c:formatCode>0.00%</c:formatCode>
                <c:ptCount val="11"/>
                <c:pt idx="0">
                  <c:v>0.51939445043318921</c:v>
                </c:pt>
                <c:pt idx="1">
                  <c:v>0.54345391243005758</c:v>
                </c:pt>
                <c:pt idx="2">
                  <c:v>0.56712652013509424</c:v>
                </c:pt>
                <c:pt idx="3">
                  <c:v>0.59023106312462592</c:v>
                </c:pt>
                <c:pt idx="4">
                  <c:v>0.61260766365823693</c:v>
                </c:pt>
                <c:pt idx="5">
                  <c:v>0.63412222833409504</c:v>
                </c:pt>
                <c:pt idx="6">
                  <c:v>0.65466901124454402</c:v>
                </c:pt>
                <c:pt idx="7">
                  <c:v>0.67417131578334166</c:v>
                </c:pt>
                <c:pt idx="8">
                  <c:v>0.69258054799637792</c:v>
                </c:pt>
                <c:pt idx="9">
                  <c:v>0.70987396035729067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86-47BF-8361-FCE4C176AB35}"/>
            </c:ext>
          </c:extLst>
        </c:ser>
        <c:ser>
          <c:idx val="5"/>
          <c:order val="5"/>
          <c:tx>
            <c:strRef>
              <c:f>'Progressive AfA'!$J$11</c:f>
              <c:strCache>
                <c:ptCount val="1"/>
                <c:pt idx="0">
                  <c:v>7,0%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'Progressive AfA'!$K$5:$U$5</c:f>
              <c:numCache>
                <c:formatCode>General_)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'Progressive AfA'!$K$11:$U$11</c:f>
              <c:numCache>
                <c:formatCode>0.00%</c:formatCode>
                <c:ptCount val="11"/>
                <c:pt idx="0">
                  <c:v>0.52250826715921506</c:v>
                </c:pt>
                <c:pt idx="1">
                  <c:v>0.55035717827746378</c:v>
                </c:pt>
                <c:pt idx="2">
                  <c:v>0.57760658081705152</c:v>
                </c:pt>
                <c:pt idx="3">
                  <c:v>0.60398538426198189</c:v>
                </c:pt>
                <c:pt idx="4">
                  <c:v>0.62926534643771492</c:v>
                </c:pt>
                <c:pt idx="5">
                  <c:v>0.65326825130568411</c:v>
                </c:pt>
                <c:pt idx="6">
                  <c:v>0.67586848718853809</c:v>
                </c:pt>
                <c:pt idx="7">
                  <c:v>0.69699148255902876</c:v>
                </c:pt>
                <c:pt idx="8">
                  <c:v>0.71660891141833272</c:v>
                </c:pt>
                <c:pt idx="9">
                  <c:v>0.73473178626901581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86-47BF-8361-FCE4C176AB35}"/>
            </c:ext>
          </c:extLst>
        </c:ser>
        <c:ser>
          <c:idx val="6"/>
          <c:order val="6"/>
          <c:tx>
            <c:strRef>
              <c:f>'Progressive AfA'!$J$12</c:f>
              <c:strCache>
                <c:ptCount val="1"/>
                <c:pt idx="0">
                  <c:v>8,0%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numRef>
              <c:f>'Progressive AfA'!$K$5:$U$5</c:f>
              <c:numCache>
                <c:formatCode>General_)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'Progressive AfA'!$K$12:$U$12</c:f>
              <c:numCache>
                <c:formatCode>0.00%</c:formatCode>
                <c:ptCount val="11"/>
                <c:pt idx="0">
                  <c:v>0.52558806840454786</c:v>
                </c:pt>
                <c:pt idx="1">
                  <c:v>0.55715328064858449</c:v>
                </c:pt>
                <c:pt idx="2">
                  <c:v>0.58784622971898481</c:v>
                </c:pt>
                <c:pt idx="3">
                  <c:v>0.61728820027560272</c:v>
                </c:pt>
                <c:pt idx="4">
                  <c:v>0.64517763283615537</c:v>
                </c:pt>
                <c:pt idx="5">
                  <c:v>0.67129959742668088</c:v>
                </c:pt>
                <c:pt idx="6">
                  <c:v>0.69552578459159609</c:v>
                </c:pt>
                <c:pt idx="7">
                  <c:v>0.71780684756811319</c:v>
                </c:pt>
                <c:pt idx="8">
                  <c:v>0.73815972916146844</c:v>
                </c:pt>
                <c:pt idx="9">
                  <c:v>0.75665267354921184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086-47BF-8361-FCE4C176AB35}"/>
            </c:ext>
          </c:extLst>
        </c:ser>
        <c:ser>
          <c:idx val="7"/>
          <c:order val="7"/>
          <c:tx>
            <c:strRef>
              <c:f>'Progressive AfA'!$J$13</c:f>
              <c:strCache>
                <c:ptCount val="1"/>
                <c:pt idx="0">
                  <c:v>9,0%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'Progressive AfA'!$K$5:$U$5</c:f>
              <c:numCache>
                <c:formatCode>General_)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'Progressive AfA'!$K$13:$U$13</c:f>
              <c:numCache>
                <c:formatCode>0.00%</c:formatCode>
                <c:ptCount val="11"/>
                <c:pt idx="0">
                  <c:v>0.5286338607106017</c:v>
                </c:pt>
                <c:pt idx="1">
                  <c:v>0.56383929201044258</c:v>
                </c:pt>
                <c:pt idx="2">
                  <c:v>0.5978355831629526</c:v>
                </c:pt>
                <c:pt idx="3">
                  <c:v>0.63012142865851051</c:v>
                </c:pt>
                <c:pt idx="4">
                  <c:v>0.66032318930098122</c:v>
                </c:pt>
                <c:pt idx="5">
                  <c:v>0.68820449524254224</c:v>
                </c:pt>
                <c:pt idx="6">
                  <c:v>0.71365873814745928</c:v>
                </c:pt>
                <c:pt idx="7">
                  <c:v>0.73668953085199895</c:v>
                </c:pt>
                <c:pt idx="8">
                  <c:v>0.7573850997862468</c:v>
                </c:pt>
                <c:pt idx="9">
                  <c:v>0.77589180917869438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086-47BF-8361-FCE4C176AB35}"/>
            </c:ext>
          </c:extLst>
        </c:ser>
        <c:ser>
          <c:idx val="8"/>
          <c:order val="8"/>
          <c:tx>
            <c:strRef>
              <c:f>'Progressive AfA'!$J$14</c:f>
              <c:strCache>
                <c:ptCount val="1"/>
                <c:pt idx="0">
                  <c:v>10,0%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numRef>
              <c:f>'Progressive AfA'!$K$5:$U$5</c:f>
              <c:numCache>
                <c:formatCode>General_)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'Progressive AfA'!$K$14:$U$14</c:f>
              <c:numCache>
                <c:formatCode>0.00%</c:formatCode>
                <c:ptCount val="11"/>
                <c:pt idx="0">
                  <c:v>0.53164567328954493</c:v>
                </c:pt>
                <c:pt idx="1">
                  <c:v>0.57041268075010554</c:v>
                </c:pt>
                <c:pt idx="2">
                  <c:v>0.60756665831911472</c:v>
                </c:pt>
                <c:pt idx="3">
                  <c:v>0.64247261688138824</c:v>
                </c:pt>
                <c:pt idx="4">
                  <c:v>0.67469300182712355</c:v>
                </c:pt>
                <c:pt idx="5">
                  <c:v>0.70399272502548926</c:v>
                </c:pt>
                <c:pt idx="6">
                  <c:v>0.73031657755455637</c:v>
                </c:pt>
                <c:pt idx="7">
                  <c:v>0.75375038453043275</c:v>
                </c:pt>
                <c:pt idx="8">
                  <c:v>0.77447721979724393</c:v>
                </c:pt>
                <c:pt idx="9">
                  <c:v>0.79273700045215889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86-47BF-8361-FCE4C176AB35}"/>
            </c:ext>
          </c:extLst>
        </c:ser>
        <c:ser>
          <c:idx val="9"/>
          <c:order val="9"/>
          <c:tx>
            <c:strRef>
              <c:f>'Progressive AfA'!$J$15</c:f>
              <c:strCache>
                <c:ptCount val="1"/>
                <c:pt idx="0">
                  <c:v>11,0%</c:v>
                </c:pt>
              </c:strCache>
            </c:strRef>
          </c:tx>
          <c:spPr>
            <a:ln w="12700">
              <a:solidFill>
                <a:srgbClr val="69FFFF"/>
              </a:solidFill>
              <a:prstDash val="solid"/>
            </a:ln>
          </c:spPr>
          <c:marker>
            <c:symbol val="none"/>
          </c:marker>
          <c:cat>
            <c:numRef>
              <c:f>'Progressive AfA'!$K$5:$U$5</c:f>
              <c:numCache>
                <c:formatCode>General_)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'Progressive AfA'!$K$15:$U$15</c:f>
              <c:numCache>
                <c:formatCode>0.00%</c:formatCode>
                <c:ptCount val="11"/>
                <c:pt idx="0">
                  <c:v>0.53462355692980668</c:v>
                </c:pt>
                <c:pt idx="1">
                  <c:v>0.57687129832636641</c:v>
                </c:pt>
                <c:pt idx="2">
                  <c:v>0.61703329144603825</c:v>
                </c:pt>
                <c:pt idx="3">
                  <c:v>0.65433451841681545</c:v>
                </c:pt>
                <c:pt idx="4">
                  <c:v>0.68828882914384293</c:v>
                </c:pt>
                <c:pt idx="5">
                  <c:v>0.71869148219701917</c:v>
                </c:pt>
                <c:pt idx="6">
                  <c:v>0.74557124985077783</c:v>
                </c:pt>
                <c:pt idx="7">
                  <c:v>0.76912396193718202</c:v>
                </c:pt>
                <c:pt idx="8">
                  <c:v>0.78964612794156253</c:v>
                </c:pt>
                <c:pt idx="9">
                  <c:v>0.80747988717148989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086-47BF-8361-FCE4C176AB35}"/>
            </c:ext>
          </c:extLst>
        </c:ser>
        <c:ser>
          <c:idx val="10"/>
          <c:order val="10"/>
          <c:tx>
            <c:strRef>
              <c:f>'Progressive AfA'!$J$16</c:f>
              <c:strCache>
                <c:ptCount val="1"/>
                <c:pt idx="0">
                  <c:v>2,0%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'Progressive AfA'!$K$5:$U$5</c:f>
              <c:numCache>
                <c:formatCode>General_)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'Progressive AfA'!$K$16:$U$16</c:f>
              <c:numCache>
                <c:formatCode>General</c:formatCode>
                <c:ptCount val="11"/>
                <c:pt idx="9" formatCode="0.00%">
                  <c:v>0.57956910312238075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086-47BF-8361-FCE4C176AB35}"/>
            </c:ext>
          </c:extLst>
        </c:ser>
        <c:ser>
          <c:idx val="11"/>
          <c:order val="11"/>
          <c:tx>
            <c:strRef>
              <c:f>'Progressive AfA'!$J$17</c:f>
              <c:strCache>
                <c:ptCount val="1"/>
                <c:pt idx="0">
                  <c:v>3,0%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'Progressive AfA'!$K$5:$U$5</c:f>
              <c:numCache>
                <c:formatCode>General_)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'Progressive AfA'!$K$17:$U$17</c:f>
              <c:numCache>
                <c:formatCode>General</c:formatCode>
                <c:ptCount val="11"/>
                <c:pt idx="9" formatCode="0.00%">
                  <c:v>0.61651942619854627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086-47BF-8361-FCE4C176AB35}"/>
            </c:ext>
          </c:extLst>
        </c:ser>
        <c:ser>
          <c:idx val="12"/>
          <c:order val="12"/>
          <c:tx>
            <c:strRef>
              <c:f>'Progressive AfA'!$J$18</c:f>
              <c:strCache>
                <c:ptCount val="1"/>
                <c:pt idx="0">
                  <c:v>4,0%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'Progressive AfA'!$K$5:$U$5</c:f>
              <c:numCache>
                <c:formatCode>General_)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'Progressive AfA'!$K$18:$U$18</c:f>
              <c:numCache>
                <c:formatCode>General</c:formatCode>
                <c:ptCount val="11"/>
                <c:pt idx="9" formatCode="0.00%">
                  <c:v>0.65074020709660607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086-47BF-8361-FCE4C176AB35}"/>
            </c:ext>
          </c:extLst>
        </c:ser>
        <c:ser>
          <c:idx val="13"/>
          <c:order val="13"/>
          <c:tx>
            <c:strRef>
              <c:f>'Progressive AfA'!$J$19</c:f>
              <c:strCache>
                <c:ptCount val="1"/>
                <c:pt idx="0">
                  <c:v>5,0%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'Progressive AfA'!$K$5:$U$5</c:f>
              <c:numCache>
                <c:formatCode>General_)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'Progressive AfA'!$K$19:$U$19</c:f>
              <c:numCache>
                <c:formatCode>General</c:formatCode>
                <c:ptCount val="11"/>
                <c:pt idx="9" formatCode="0.00%">
                  <c:v>0.68189677423012829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086-47BF-8361-FCE4C176AB35}"/>
            </c:ext>
          </c:extLst>
        </c:ser>
        <c:ser>
          <c:idx val="14"/>
          <c:order val="14"/>
          <c:tx>
            <c:strRef>
              <c:f>'Progressive AfA'!$J$20</c:f>
              <c:strCache>
                <c:ptCount val="1"/>
                <c:pt idx="0">
                  <c:v>6,0%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'Progressive AfA'!$K$5:$U$5</c:f>
              <c:numCache>
                <c:formatCode>General_)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'Progressive AfA'!$K$20:$U$20</c:f>
              <c:numCache>
                <c:formatCode>General</c:formatCode>
                <c:ptCount val="11"/>
                <c:pt idx="9" formatCode="0.00%">
                  <c:v>0.70987396035729067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086-47BF-8361-FCE4C176AB35}"/>
            </c:ext>
          </c:extLst>
        </c:ser>
        <c:ser>
          <c:idx val="15"/>
          <c:order val="15"/>
          <c:tx>
            <c:strRef>
              <c:f>'Progressive AfA'!$J$21</c:f>
              <c:strCache>
                <c:ptCount val="1"/>
                <c:pt idx="0">
                  <c:v>7,0%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'Progressive AfA'!$K$5:$U$5</c:f>
              <c:numCache>
                <c:formatCode>General_)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'Progressive AfA'!$K$21:$U$21</c:f>
              <c:numCache>
                <c:formatCode>General</c:formatCode>
                <c:ptCount val="11"/>
                <c:pt idx="9" formatCode="0.00%">
                  <c:v>0.73473178626901581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086-47BF-8361-FCE4C176AB35}"/>
            </c:ext>
          </c:extLst>
        </c:ser>
        <c:ser>
          <c:idx val="16"/>
          <c:order val="16"/>
          <c:tx>
            <c:strRef>
              <c:f>'Progressive AfA'!$J$22</c:f>
              <c:strCache>
                <c:ptCount val="1"/>
                <c:pt idx="0">
                  <c:v>8,0%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'Progressive AfA'!$K$5:$U$5</c:f>
              <c:numCache>
                <c:formatCode>General_)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'Progressive AfA'!$K$22:$U$22</c:f>
              <c:numCache>
                <c:formatCode>General</c:formatCode>
                <c:ptCount val="11"/>
                <c:pt idx="9" formatCode="0.00%">
                  <c:v>0.75665267354921184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086-47BF-8361-FCE4C176AB35}"/>
            </c:ext>
          </c:extLst>
        </c:ser>
        <c:ser>
          <c:idx val="17"/>
          <c:order val="17"/>
          <c:tx>
            <c:strRef>
              <c:f>'Progressive AfA'!$J$23</c:f>
              <c:strCache>
                <c:ptCount val="1"/>
                <c:pt idx="0">
                  <c:v>9,0%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'Progressive AfA'!$K$5:$U$5</c:f>
              <c:numCache>
                <c:formatCode>General_)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'Progressive AfA'!$K$23:$U$23</c:f>
              <c:numCache>
                <c:formatCode>General</c:formatCode>
                <c:ptCount val="11"/>
                <c:pt idx="9" formatCode="0.00%">
                  <c:v>0.77589180917869438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086-47BF-8361-FCE4C176AB35}"/>
            </c:ext>
          </c:extLst>
        </c:ser>
        <c:ser>
          <c:idx val="18"/>
          <c:order val="18"/>
          <c:tx>
            <c:strRef>
              <c:f>'Progressive AfA'!$J$24</c:f>
              <c:strCache>
                <c:ptCount val="1"/>
                <c:pt idx="0">
                  <c:v>10,0%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'Progressive AfA'!$K$5:$U$5</c:f>
              <c:numCache>
                <c:formatCode>General_)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'Progressive AfA'!$K$24:$U$24</c:f>
              <c:numCache>
                <c:formatCode>General</c:formatCode>
                <c:ptCount val="11"/>
                <c:pt idx="9" formatCode="0.00%">
                  <c:v>0.79273700045215889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086-47BF-8361-FCE4C176AB35}"/>
            </c:ext>
          </c:extLst>
        </c:ser>
        <c:ser>
          <c:idx val="19"/>
          <c:order val="19"/>
          <c:tx>
            <c:strRef>
              <c:f>'Progressive AfA'!$J$25</c:f>
              <c:strCache>
                <c:ptCount val="1"/>
                <c:pt idx="0">
                  <c:v>11,0%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'Progressive AfA'!$K$5:$U$5</c:f>
              <c:numCache>
                <c:formatCode>General_)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'Progressive AfA'!$K$25:$U$25</c:f>
              <c:numCache>
                <c:formatCode>General</c:formatCode>
                <c:ptCount val="11"/>
                <c:pt idx="9" formatCode="0.00%">
                  <c:v>0.80747988717148989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086-47BF-8361-FCE4C176A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7128832"/>
        <c:axId val="357135104"/>
      </c:lineChart>
      <c:catAx>
        <c:axId val="35712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Perioden (Nutzungsdauer)</a:t>
                </a:r>
              </a:p>
            </c:rich>
          </c:tx>
          <c:layout>
            <c:manualLayout>
              <c:xMode val="edge"/>
              <c:yMode val="edge"/>
              <c:x val="0.43485953144745798"/>
              <c:y val="0.917764678192399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7135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7135104"/>
        <c:scaling>
          <c:orientation val="minMax"/>
          <c:min val="0.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Durchschnittlicher Anlagewert in % von A</a:t>
                </a:r>
              </a:p>
            </c:rich>
          </c:tx>
          <c:layout>
            <c:manualLayout>
              <c:xMode val="edge"/>
              <c:yMode val="edge"/>
              <c:x val="8.8027319630313711E-3"/>
              <c:y val="9.8684097911674068E-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7128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82758620689656"/>
          <c:y val="7.5757949405921551E-2"/>
          <c:w val="0.82413793103448274"/>
          <c:h val="0.76768055398000501"/>
        </c:manualLayout>
      </c:layout>
      <c:areaChart>
        <c:grouping val="stacked"/>
        <c:varyColors val="0"/>
        <c:ser>
          <c:idx val="1"/>
          <c:order val="0"/>
          <c:tx>
            <c:strRef>
              <c:f>Text!$D$751</c:f>
              <c:strCache>
                <c:ptCount val="1"/>
                <c:pt idx="0">
                  <c:v>Eigenkapital</c:v>
                </c:pt>
              </c:strCache>
            </c:strRef>
          </c:tx>
          <c:spPr>
            <a:pattFill prst="dashHorz">
              <a:fgClr>
                <a:srgbClr xmlns:mc="http://schemas.openxmlformats.org/markup-compatibility/2006" xmlns:a14="http://schemas.microsoft.com/office/drawing/2010/main" val="3333CC" mc:Ignorable="a14" a14:legacySpreadsheetColorIndex="56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Text!$H$746:$M$746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Text!$H$751:$M$751</c:f>
              <c:numCache>
                <c:formatCode>#,##0</c:formatCode>
                <c:ptCount val="6"/>
                <c:pt idx="0">
                  <c:v>40000</c:v>
                </c:pt>
                <c:pt idx="1">
                  <c:v>54000</c:v>
                </c:pt>
                <c:pt idx="2">
                  <c:v>68000</c:v>
                </c:pt>
                <c:pt idx="3">
                  <c:v>52000</c:v>
                </c:pt>
                <c:pt idx="4">
                  <c:v>36000</c:v>
                </c:pt>
                <c:pt idx="5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EE-4CCB-B54A-3BAB7843C324}"/>
            </c:ext>
          </c:extLst>
        </c:ser>
        <c:ser>
          <c:idx val="0"/>
          <c:order val="1"/>
          <c:tx>
            <c:strRef>
              <c:f>Text!$D$749</c:f>
              <c:strCache>
                <c:ptCount val="1"/>
                <c:pt idx="0">
                  <c:v>Fremdkapital</c:v>
                </c:pt>
              </c:strCache>
            </c:strRef>
          </c:tx>
          <c:spPr>
            <a:pattFill prst="dashVert">
              <a:fgClr>
                <a:srgbClr xmlns:mc="http://schemas.openxmlformats.org/markup-compatibility/2006" xmlns:a14="http://schemas.microsoft.com/office/drawing/2010/main" val="FF0000" mc:Ignorable="a14" a14:legacySpreadsheetColorIndex="10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Text!$H$746:$M$746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Text!$H$749:$M$749</c:f>
              <c:numCache>
                <c:formatCode>#,##0</c:formatCode>
                <c:ptCount val="6"/>
                <c:pt idx="0">
                  <c:v>60000</c:v>
                </c:pt>
                <c:pt idx="1">
                  <c:v>30000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EE-4CCB-B54A-3BAB7843C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254656"/>
        <c:axId val="355256192"/>
      </c:areaChart>
      <c:catAx>
        <c:axId val="35525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5256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5256192"/>
        <c:scaling>
          <c:orientation val="minMax"/>
          <c:max val="1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5254656"/>
        <c:crosses val="autoZero"/>
        <c:crossBetween val="midCat"/>
        <c:majorUnit val="20000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92326614383012"/>
          <c:y val="2.7777777777777776E-2"/>
          <c:w val="0.77329633144190868"/>
          <c:h val="0.8416746864975212"/>
        </c:manualLayout>
      </c:layout>
      <c:scatterChart>
        <c:scatterStyle val="lineMarker"/>
        <c:varyColors val="0"/>
        <c:ser>
          <c:idx val="0"/>
          <c:order val="0"/>
          <c:tx>
            <c:strRef>
              <c:f>AfA!$B$54</c:f>
              <c:strCache>
                <c:ptCount val="1"/>
                <c:pt idx="0">
                  <c:v>AV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AfA!$C$53:$W$53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AfA!$C$54:$W$54</c:f>
              <c:numCache>
                <c:formatCode>#,##0</c:formatCode>
                <c:ptCount val="21"/>
                <c:pt idx="0">
                  <c:v>100000</c:v>
                </c:pt>
                <c:pt idx="1">
                  <c:v>96147.72431171409</c:v>
                </c:pt>
                <c:pt idx="2">
                  <c:v>96147.72431171409</c:v>
                </c:pt>
                <c:pt idx="3">
                  <c:v>91524.993485771003</c:v>
                </c:pt>
                <c:pt idx="4">
                  <c:v>91524.993485771003</c:v>
                </c:pt>
                <c:pt idx="5">
                  <c:v>85977.716494639288</c:v>
                </c:pt>
                <c:pt idx="6">
                  <c:v>85977.716494639288</c:v>
                </c:pt>
                <c:pt idx="7">
                  <c:v>79320.984105281241</c:v>
                </c:pt>
                <c:pt idx="8">
                  <c:v>79320.984105281241</c:v>
                </c:pt>
                <c:pt idx="9">
                  <c:v>71332.905238051579</c:v>
                </c:pt>
                <c:pt idx="10">
                  <c:v>71332.905238051579</c:v>
                </c:pt>
                <c:pt idx="11">
                  <c:v>61747.210597375983</c:v>
                </c:pt>
                <c:pt idx="12">
                  <c:v>61747.210597375983</c:v>
                </c:pt>
                <c:pt idx="13">
                  <c:v>50244.377028565264</c:v>
                </c:pt>
                <c:pt idx="14">
                  <c:v>50244.377028565264</c:v>
                </c:pt>
                <c:pt idx="15">
                  <c:v>36440.976745992404</c:v>
                </c:pt>
                <c:pt idx="16">
                  <c:v>36440.976745992404</c:v>
                </c:pt>
                <c:pt idx="17">
                  <c:v>19876.896406904973</c:v>
                </c:pt>
                <c:pt idx="18">
                  <c:v>19876.896406904973</c:v>
                </c:pt>
                <c:pt idx="19">
                  <c:v>5.4569682106375694E-11</c:v>
                </c:pt>
                <c:pt idx="20">
                  <c:v>5.4569682106375694E-11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DD-4A2B-943D-BB81180C87F5}"/>
            </c:ext>
          </c:extLst>
        </c:ser>
        <c:ser>
          <c:idx val="1"/>
          <c:order val="1"/>
          <c:tx>
            <c:strRef>
              <c:f>AfA!$B$55</c:f>
              <c:strCache>
                <c:ptCount val="1"/>
                <c:pt idx="0">
                  <c:v>Punkt1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AfA!$C$53:$W$53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AfA!$C$55:$W$55</c:f>
              <c:numCache>
                <c:formatCode>#,##0</c:formatCode>
                <c:ptCount val="21"/>
                <c:pt idx="0">
                  <c:v>100000</c:v>
                </c:pt>
                <c:pt idx="1">
                  <c:v>100000</c:v>
                </c:pt>
                <c:pt idx="2">
                  <c:v>96147.72431171409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DD-4A2B-943D-BB81180C87F5}"/>
            </c:ext>
          </c:extLst>
        </c:ser>
        <c:ser>
          <c:idx val="2"/>
          <c:order val="2"/>
          <c:tx>
            <c:strRef>
              <c:f>AfA!$B$56</c:f>
              <c:strCache>
                <c:ptCount val="1"/>
                <c:pt idx="0">
                  <c:v>Punkt2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AfA!$C$53:$W$53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AfA!$C$56:$W$56</c:f>
              <c:numCache>
                <c:formatCode>#,##0</c:formatCode>
                <c:ptCount val="21"/>
                <c:pt idx="2">
                  <c:v>96147.72431171409</c:v>
                </c:pt>
                <c:pt idx="3">
                  <c:v>96147.72431171409</c:v>
                </c:pt>
                <c:pt idx="4">
                  <c:v>91524.993485771003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DD-4A2B-943D-BB81180C87F5}"/>
            </c:ext>
          </c:extLst>
        </c:ser>
        <c:ser>
          <c:idx val="3"/>
          <c:order val="3"/>
          <c:tx>
            <c:strRef>
              <c:f>AfA!$B$57</c:f>
              <c:strCache>
                <c:ptCount val="1"/>
                <c:pt idx="0">
                  <c:v>Punkt3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AfA!$C$53:$W$53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AfA!$C$57:$W$57</c:f>
              <c:numCache>
                <c:formatCode>#,##0</c:formatCode>
                <c:ptCount val="21"/>
                <c:pt idx="4">
                  <c:v>91524.993485771003</c:v>
                </c:pt>
                <c:pt idx="5">
                  <c:v>91524.993485771003</c:v>
                </c:pt>
                <c:pt idx="6">
                  <c:v>85977.716494639288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DD-4A2B-943D-BB81180C87F5}"/>
            </c:ext>
          </c:extLst>
        </c:ser>
        <c:ser>
          <c:idx val="4"/>
          <c:order val="4"/>
          <c:tx>
            <c:strRef>
              <c:f>AfA!$B$58</c:f>
              <c:strCache>
                <c:ptCount val="1"/>
                <c:pt idx="0">
                  <c:v>Punkt4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AfA!$C$53:$W$53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AfA!$C$58:$W$58</c:f>
              <c:numCache>
                <c:formatCode>#,##0</c:formatCode>
                <c:ptCount val="21"/>
                <c:pt idx="6">
                  <c:v>85977.716494639288</c:v>
                </c:pt>
                <c:pt idx="7">
                  <c:v>85977.716494639288</c:v>
                </c:pt>
                <c:pt idx="8">
                  <c:v>79320.984105281241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DD-4A2B-943D-BB81180C87F5}"/>
            </c:ext>
          </c:extLst>
        </c:ser>
        <c:ser>
          <c:idx val="5"/>
          <c:order val="5"/>
          <c:tx>
            <c:strRef>
              <c:f>AfA!$B$59</c:f>
              <c:strCache>
                <c:ptCount val="1"/>
                <c:pt idx="0">
                  <c:v>Punkt5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AfA!$C$53:$W$53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AfA!$C$59:$W$59</c:f>
              <c:numCache>
                <c:formatCode>#,##0</c:formatCode>
                <c:ptCount val="21"/>
                <c:pt idx="8">
                  <c:v>79320.984105281241</c:v>
                </c:pt>
                <c:pt idx="9">
                  <c:v>79320.984105281241</c:v>
                </c:pt>
                <c:pt idx="10">
                  <c:v>71332.905238051579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DD-4A2B-943D-BB81180C87F5}"/>
            </c:ext>
          </c:extLst>
        </c:ser>
        <c:ser>
          <c:idx val="6"/>
          <c:order val="6"/>
          <c:tx>
            <c:strRef>
              <c:f>AfA!$B$60</c:f>
              <c:strCache>
                <c:ptCount val="1"/>
                <c:pt idx="0">
                  <c:v>Punkt6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AfA!$C$53:$W$53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AfA!$C$60:$W$60</c:f>
              <c:numCache>
                <c:formatCode>#,##0</c:formatCode>
                <c:ptCount val="21"/>
                <c:pt idx="10">
                  <c:v>71332.905238051579</c:v>
                </c:pt>
                <c:pt idx="11">
                  <c:v>71332.905238051579</c:v>
                </c:pt>
                <c:pt idx="12">
                  <c:v>61747.210597375983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DD-4A2B-943D-BB81180C87F5}"/>
            </c:ext>
          </c:extLst>
        </c:ser>
        <c:ser>
          <c:idx val="7"/>
          <c:order val="7"/>
          <c:tx>
            <c:strRef>
              <c:f>AfA!$B$61</c:f>
              <c:strCache>
                <c:ptCount val="1"/>
                <c:pt idx="0">
                  <c:v>Punkt7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AfA!$C$53:$W$53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AfA!$C$61:$W$61</c:f>
              <c:numCache>
                <c:formatCode>#,##0</c:formatCode>
                <c:ptCount val="21"/>
                <c:pt idx="12">
                  <c:v>61747.210597375983</c:v>
                </c:pt>
                <c:pt idx="13">
                  <c:v>61747.210597375983</c:v>
                </c:pt>
                <c:pt idx="14">
                  <c:v>50244.377028565264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DD-4A2B-943D-BB81180C87F5}"/>
            </c:ext>
          </c:extLst>
        </c:ser>
        <c:ser>
          <c:idx val="8"/>
          <c:order val="8"/>
          <c:tx>
            <c:strRef>
              <c:f>AfA!$B$62</c:f>
              <c:strCache>
                <c:ptCount val="1"/>
                <c:pt idx="0">
                  <c:v>Punkt8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AfA!$C$53:$W$53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AfA!$C$62:$W$62</c:f>
              <c:numCache>
                <c:formatCode>General</c:formatCode>
                <c:ptCount val="21"/>
                <c:pt idx="14" formatCode="#,##0">
                  <c:v>50244.377028565264</c:v>
                </c:pt>
                <c:pt idx="15" formatCode="#,##0">
                  <c:v>50244.377028565264</c:v>
                </c:pt>
                <c:pt idx="16" formatCode="#,##0">
                  <c:v>36440.976745992404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4DD-4A2B-943D-BB81180C87F5}"/>
            </c:ext>
          </c:extLst>
        </c:ser>
        <c:ser>
          <c:idx val="9"/>
          <c:order val="9"/>
          <c:tx>
            <c:strRef>
              <c:f>AfA!$B$63</c:f>
              <c:strCache>
                <c:ptCount val="1"/>
                <c:pt idx="0">
                  <c:v>Punkt9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AfA!$C$53:$W$53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AfA!$C$63:$W$63</c:f>
              <c:numCache>
                <c:formatCode>General</c:formatCode>
                <c:ptCount val="21"/>
                <c:pt idx="16" formatCode="#,##0">
                  <c:v>36440.976745992404</c:v>
                </c:pt>
                <c:pt idx="17" formatCode="#,##0">
                  <c:v>36440.976745992404</c:v>
                </c:pt>
                <c:pt idx="18" formatCode="#,##0">
                  <c:v>19876.896406904973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4DD-4A2B-943D-BB81180C87F5}"/>
            </c:ext>
          </c:extLst>
        </c:ser>
        <c:ser>
          <c:idx val="10"/>
          <c:order val="10"/>
          <c:tx>
            <c:strRef>
              <c:f>AfA!$B$64</c:f>
              <c:strCache>
                <c:ptCount val="1"/>
                <c:pt idx="0">
                  <c:v>Punkt10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AfA!$C$53:$W$53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AfA!$C$64:$W$64</c:f>
              <c:numCache>
                <c:formatCode>General</c:formatCode>
                <c:ptCount val="21"/>
                <c:pt idx="18" formatCode="#,##0">
                  <c:v>19876.896406904973</c:v>
                </c:pt>
                <c:pt idx="19" formatCode="#,##0">
                  <c:v>19876.896406904973</c:v>
                </c:pt>
                <c:pt idx="20" formatCode="#,##0">
                  <c:v>5.4569682106375694E-11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4DD-4A2B-943D-BB81180C87F5}"/>
            </c:ext>
          </c:extLst>
        </c:ser>
        <c:ser>
          <c:idx val="11"/>
          <c:order val="11"/>
          <c:tx>
            <c:strRef>
              <c:f>AfA!$B$65</c:f>
              <c:strCache>
                <c:ptCount val="1"/>
                <c:pt idx="0">
                  <c:v>Punkt11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AfA!$C$53:$W$53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AfA!$C$65:$W$65</c:f>
              <c:numCache>
                <c:formatCode>General</c:formatCode>
                <c:ptCount val="21"/>
                <c:pt idx="20" formatCode="#,##0">
                  <c:v>5.4569682106375694E-11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4DD-4A2B-943D-BB81180C87F5}"/>
            </c:ext>
          </c:extLst>
        </c:ser>
        <c:ser>
          <c:idx val="12"/>
          <c:order val="12"/>
          <c:tx>
            <c:strRef>
              <c:f>AfA!$B$66</c:f>
              <c:strCache>
                <c:ptCount val="1"/>
                <c:pt idx="0">
                  <c:v>Linear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prstDash val="lgDashDot"/>
              <a:round/>
            </a:ln>
            <a:effectLst/>
          </c:spPr>
          <c:marker>
            <c:symbol val="none"/>
          </c:marker>
          <c:xVal>
            <c:numRef>
              <c:f>AfA!$C$53:$W$53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AfA!$C$66:$W$66</c:f>
              <c:numCache>
                <c:formatCode>#,##0</c:formatCode>
                <c:ptCount val="21"/>
                <c:pt idx="0">
                  <c:v>100000</c:v>
                </c:pt>
                <c:pt idx="1">
                  <c:v>90000</c:v>
                </c:pt>
                <c:pt idx="2">
                  <c:v>90000</c:v>
                </c:pt>
                <c:pt idx="3">
                  <c:v>80000</c:v>
                </c:pt>
                <c:pt idx="4">
                  <c:v>80000</c:v>
                </c:pt>
                <c:pt idx="5">
                  <c:v>70000</c:v>
                </c:pt>
                <c:pt idx="6">
                  <c:v>70000</c:v>
                </c:pt>
                <c:pt idx="7">
                  <c:v>60000</c:v>
                </c:pt>
                <c:pt idx="8">
                  <c:v>60000</c:v>
                </c:pt>
                <c:pt idx="9">
                  <c:v>50000</c:v>
                </c:pt>
                <c:pt idx="10">
                  <c:v>50000</c:v>
                </c:pt>
                <c:pt idx="11">
                  <c:v>40000</c:v>
                </c:pt>
                <c:pt idx="12">
                  <c:v>40000</c:v>
                </c:pt>
                <c:pt idx="13">
                  <c:v>30000</c:v>
                </c:pt>
                <c:pt idx="14">
                  <c:v>30000</c:v>
                </c:pt>
                <c:pt idx="15">
                  <c:v>20000</c:v>
                </c:pt>
                <c:pt idx="16">
                  <c:v>20000</c:v>
                </c:pt>
                <c:pt idx="17">
                  <c:v>10000</c:v>
                </c:pt>
                <c:pt idx="18">
                  <c:v>10000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44DD-4A2B-943D-BB81180C87F5}"/>
            </c:ext>
          </c:extLst>
        </c:ser>
        <c:ser>
          <c:idx val="13"/>
          <c:order val="13"/>
          <c:tx>
            <c:strRef>
              <c:f>AfA!$B$67</c:f>
              <c:strCache>
                <c:ptCount val="1"/>
                <c:pt idx="0">
                  <c:v>Durchschnitt</c:v>
                </c:pt>
              </c:strCache>
            </c:strRef>
          </c:tx>
          <c:spPr>
            <a:ln w="12700" cap="rnd">
              <a:solidFill>
                <a:schemeClr val="accent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AfA!$C$53:$W$53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AfA!$C$67:$W$67</c:f>
              <c:numCache>
                <c:formatCode>#,##0</c:formatCode>
                <c:ptCount val="21"/>
                <c:pt idx="0">
                  <c:v>62964.88949220872</c:v>
                </c:pt>
                <c:pt idx="1">
                  <c:v>62964.88949220872</c:v>
                </c:pt>
                <c:pt idx="2">
                  <c:v>62964.88949220872</c:v>
                </c:pt>
                <c:pt idx="3">
                  <c:v>62964.88949220872</c:v>
                </c:pt>
                <c:pt idx="4">
                  <c:v>62964.88949220872</c:v>
                </c:pt>
                <c:pt idx="5">
                  <c:v>62964.88949220872</c:v>
                </c:pt>
                <c:pt idx="6">
                  <c:v>62964.88949220872</c:v>
                </c:pt>
                <c:pt idx="7">
                  <c:v>62964.88949220872</c:v>
                </c:pt>
                <c:pt idx="8">
                  <c:v>62964.88949220872</c:v>
                </c:pt>
                <c:pt idx="9">
                  <c:v>62964.88949220872</c:v>
                </c:pt>
                <c:pt idx="10">
                  <c:v>62964.88949220872</c:v>
                </c:pt>
                <c:pt idx="11">
                  <c:v>62964.88949220872</c:v>
                </c:pt>
                <c:pt idx="12">
                  <c:v>62964.88949220872</c:v>
                </c:pt>
                <c:pt idx="13">
                  <c:v>62964.88949220872</c:v>
                </c:pt>
                <c:pt idx="14">
                  <c:v>62964.88949220872</c:v>
                </c:pt>
                <c:pt idx="15">
                  <c:v>62964.88949220872</c:v>
                </c:pt>
                <c:pt idx="16">
                  <c:v>62964.88949220872</c:v>
                </c:pt>
                <c:pt idx="17">
                  <c:v>62964.88949220872</c:v>
                </c:pt>
                <c:pt idx="18">
                  <c:v>62964.88949220872</c:v>
                </c:pt>
                <c:pt idx="19">
                  <c:v>62964.88949220872</c:v>
                </c:pt>
                <c:pt idx="20">
                  <c:v>62964.88949220872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44DD-4A2B-943D-BB81180C8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425792"/>
        <c:axId val="606433664"/>
      </c:scatterChart>
      <c:valAx>
        <c:axId val="606425792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Perioden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6433664"/>
        <c:crosses val="autoZero"/>
        <c:crossBetween val="midCat"/>
        <c:majorUnit val="1"/>
      </c:valAx>
      <c:valAx>
        <c:axId val="606433664"/>
        <c:scaling>
          <c:orientation val="minMax"/>
          <c:max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Anlagewert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6425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87974364518059"/>
          <c:y val="2.7777777777777776E-2"/>
          <c:w val="0.76933985394055815"/>
          <c:h val="0.8416746864975212"/>
        </c:manualLayout>
      </c:layout>
      <c:scatterChart>
        <c:scatterStyle val="lineMarker"/>
        <c:varyColors val="0"/>
        <c:ser>
          <c:idx val="0"/>
          <c:order val="0"/>
          <c:tx>
            <c:strRef>
              <c:f>AfA!$B$79</c:f>
              <c:strCache>
                <c:ptCount val="1"/>
                <c:pt idx="0">
                  <c:v>AV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AfA!$C$78:$W$78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AfA!$C$79:$W$79</c:f>
              <c:numCache>
                <c:formatCode>#,##0</c:formatCode>
                <c:ptCount val="21"/>
                <c:pt idx="0">
                  <c:v>100000</c:v>
                </c:pt>
                <c:pt idx="1">
                  <c:v>77594.195007966569</c:v>
                </c:pt>
                <c:pt idx="2">
                  <c:v>77594.195007966569</c:v>
                </c:pt>
                <c:pt idx="3">
                  <c:v>59669.551014339828</c:v>
                </c:pt>
                <c:pt idx="4">
                  <c:v>59669.551014339828</c:v>
                </c:pt>
                <c:pt idx="5">
                  <c:v>45329.835819438435</c:v>
                </c:pt>
                <c:pt idx="6">
                  <c:v>45329.835819438435</c:v>
                </c:pt>
                <c:pt idx="7">
                  <c:v>33858.063663517314</c:v>
                </c:pt>
                <c:pt idx="8">
                  <c:v>33858.063663517314</c:v>
                </c:pt>
                <c:pt idx="9">
                  <c:v>24680.645938780424</c:v>
                </c:pt>
                <c:pt idx="10">
                  <c:v>24680.645938780424</c:v>
                </c:pt>
                <c:pt idx="11">
                  <c:v>17338.71175899091</c:v>
                </c:pt>
                <c:pt idx="12">
                  <c:v>17338.71175899091</c:v>
                </c:pt>
                <c:pt idx="13">
                  <c:v>11465.164415159299</c:v>
                </c:pt>
                <c:pt idx="14">
                  <c:v>11465.164415159299</c:v>
                </c:pt>
                <c:pt idx="15">
                  <c:v>6766.3265400940109</c:v>
                </c:pt>
                <c:pt idx="16">
                  <c:v>6766.3265400940109</c:v>
                </c:pt>
                <c:pt idx="17">
                  <c:v>3007.256240041781</c:v>
                </c:pt>
                <c:pt idx="18">
                  <c:v>3007.256240041781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C3-4BB9-96D1-536F254CF740}"/>
            </c:ext>
          </c:extLst>
        </c:ser>
        <c:ser>
          <c:idx val="1"/>
          <c:order val="1"/>
          <c:tx>
            <c:strRef>
              <c:f>AfA!$B$80</c:f>
              <c:strCache>
                <c:ptCount val="1"/>
                <c:pt idx="0">
                  <c:v>Punkt1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AfA!$C$78:$W$78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AfA!$C$80:$W$80</c:f>
              <c:numCache>
                <c:formatCode>#,##0</c:formatCode>
                <c:ptCount val="21"/>
                <c:pt idx="0">
                  <c:v>100000</c:v>
                </c:pt>
                <c:pt idx="1">
                  <c:v>100000</c:v>
                </c:pt>
                <c:pt idx="2">
                  <c:v>77594.195007966569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C3-4BB9-96D1-536F254CF740}"/>
            </c:ext>
          </c:extLst>
        </c:ser>
        <c:ser>
          <c:idx val="2"/>
          <c:order val="2"/>
          <c:tx>
            <c:strRef>
              <c:f>AfA!$B$81</c:f>
              <c:strCache>
                <c:ptCount val="1"/>
                <c:pt idx="0">
                  <c:v>Punkt2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AfA!$C$78:$W$78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AfA!$C$81:$W$81</c:f>
              <c:numCache>
                <c:formatCode>#,##0</c:formatCode>
                <c:ptCount val="21"/>
                <c:pt idx="2">
                  <c:v>77594.195007966569</c:v>
                </c:pt>
                <c:pt idx="3">
                  <c:v>77594.195007966569</c:v>
                </c:pt>
                <c:pt idx="4">
                  <c:v>59669.551014339828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C3-4BB9-96D1-536F254CF740}"/>
            </c:ext>
          </c:extLst>
        </c:ser>
        <c:ser>
          <c:idx val="3"/>
          <c:order val="3"/>
          <c:tx>
            <c:strRef>
              <c:f>AfA!$B$82</c:f>
              <c:strCache>
                <c:ptCount val="1"/>
                <c:pt idx="0">
                  <c:v>Punkt3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AfA!$C$78:$W$78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AfA!$C$82:$W$82</c:f>
              <c:numCache>
                <c:formatCode>#,##0</c:formatCode>
                <c:ptCount val="21"/>
                <c:pt idx="4">
                  <c:v>59669.551014339828</c:v>
                </c:pt>
                <c:pt idx="5">
                  <c:v>59669.551014339828</c:v>
                </c:pt>
                <c:pt idx="6">
                  <c:v>45329.835819438435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CC3-4BB9-96D1-536F254CF740}"/>
            </c:ext>
          </c:extLst>
        </c:ser>
        <c:ser>
          <c:idx val="4"/>
          <c:order val="4"/>
          <c:tx>
            <c:strRef>
              <c:f>AfA!$B$83</c:f>
              <c:strCache>
                <c:ptCount val="1"/>
                <c:pt idx="0">
                  <c:v>Punkt4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AfA!$C$78:$W$78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AfA!$C$83:$W$83</c:f>
              <c:numCache>
                <c:formatCode>#,##0</c:formatCode>
                <c:ptCount val="21"/>
                <c:pt idx="6">
                  <c:v>45329.835819438435</c:v>
                </c:pt>
                <c:pt idx="7">
                  <c:v>45329.835819438435</c:v>
                </c:pt>
                <c:pt idx="8">
                  <c:v>33858.063663517314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CC3-4BB9-96D1-536F254CF740}"/>
            </c:ext>
          </c:extLst>
        </c:ser>
        <c:ser>
          <c:idx val="5"/>
          <c:order val="5"/>
          <c:tx>
            <c:strRef>
              <c:f>AfA!$B$84</c:f>
              <c:strCache>
                <c:ptCount val="1"/>
                <c:pt idx="0">
                  <c:v>Punkt5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AfA!$C$78:$W$78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AfA!$C$84:$W$84</c:f>
              <c:numCache>
                <c:formatCode>#,##0</c:formatCode>
                <c:ptCount val="21"/>
                <c:pt idx="8">
                  <c:v>33858.063663517314</c:v>
                </c:pt>
                <c:pt idx="9">
                  <c:v>33858.063663517314</c:v>
                </c:pt>
                <c:pt idx="10">
                  <c:v>24680.645938780424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CC3-4BB9-96D1-536F254CF740}"/>
            </c:ext>
          </c:extLst>
        </c:ser>
        <c:ser>
          <c:idx val="6"/>
          <c:order val="6"/>
          <c:tx>
            <c:strRef>
              <c:f>AfA!$B$85</c:f>
              <c:strCache>
                <c:ptCount val="1"/>
                <c:pt idx="0">
                  <c:v>Punkt6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AfA!$C$78:$W$78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AfA!$C$85:$W$85</c:f>
              <c:numCache>
                <c:formatCode>#,##0</c:formatCode>
                <c:ptCount val="21"/>
                <c:pt idx="10">
                  <c:v>24680.645938780424</c:v>
                </c:pt>
                <c:pt idx="11">
                  <c:v>24680.645938780424</c:v>
                </c:pt>
                <c:pt idx="12">
                  <c:v>17338.71175899091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CC3-4BB9-96D1-536F254CF740}"/>
            </c:ext>
          </c:extLst>
        </c:ser>
        <c:ser>
          <c:idx val="7"/>
          <c:order val="7"/>
          <c:tx>
            <c:strRef>
              <c:f>AfA!$B$86</c:f>
              <c:strCache>
                <c:ptCount val="1"/>
                <c:pt idx="0">
                  <c:v>Punkt7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AfA!$C$78:$W$78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AfA!$C$86:$W$86</c:f>
              <c:numCache>
                <c:formatCode>#,##0</c:formatCode>
                <c:ptCount val="21"/>
                <c:pt idx="12">
                  <c:v>17338.71175899091</c:v>
                </c:pt>
                <c:pt idx="13">
                  <c:v>17338.71175899091</c:v>
                </c:pt>
                <c:pt idx="14">
                  <c:v>11465.164415159299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CC3-4BB9-96D1-536F254CF740}"/>
            </c:ext>
          </c:extLst>
        </c:ser>
        <c:ser>
          <c:idx val="8"/>
          <c:order val="8"/>
          <c:tx>
            <c:strRef>
              <c:f>AfA!$B$87</c:f>
              <c:strCache>
                <c:ptCount val="1"/>
                <c:pt idx="0">
                  <c:v>Punkt8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AfA!$C$78:$W$78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AfA!$C$87:$W$87</c:f>
              <c:numCache>
                <c:formatCode>General</c:formatCode>
                <c:ptCount val="21"/>
                <c:pt idx="14" formatCode="#,##0">
                  <c:v>11465.164415159299</c:v>
                </c:pt>
                <c:pt idx="15" formatCode="#,##0">
                  <c:v>11465.164415159299</c:v>
                </c:pt>
                <c:pt idx="16" formatCode="#,##0">
                  <c:v>6766.3265400940109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CC3-4BB9-96D1-536F254CF740}"/>
            </c:ext>
          </c:extLst>
        </c:ser>
        <c:ser>
          <c:idx val="9"/>
          <c:order val="9"/>
          <c:tx>
            <c:strRef>
              <c:f>AfA!$B$88</c:f>
              <c:strCache>
                <c:ptCount val="1"/>
                <c:pt idx="0">
                  <c:v>Punkt9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AfA!$C$78:$W$78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AfA!$C$88:$W$88</c:f>
              <c:numCache>
                <c:formatCode>General</c:formatCode>
                <c:ptCount val="21"/>
                <c:pt idx="16" formatCode="#,##0">
                  <c:v>6766.3265400940109</c:v>
                </c:pt>
                <c:pt idx="17" formatCode="#,##0">
                  <c:v>6766.3265400940109</c:v>
                </c:pt>
                <c:pt idx="18" formatCode="#,##0">
                  <c:v>3007.256240041781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CC3-4BB9-96D1-536F254CF740}"/>
            </c:ext>
          </c:extLst>
        </c:ser>
        <c:ser>
          <c:idx val="10"/>
          <c:order val="10"/>
          <c:tx>
            <c:strRef>
              <c:f>AfA!$B$89</c:f>
              <c:strCache>
                <c:ptCount val="1"/>
                <c:pt idx="0">
                  <c:v>Punkt10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AfA!$C$78:$W$78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AfA!$C$89:$W$89</c:f>
              <c:numCache>
                <c:formatCode>General</c:formatCode>
                <c:ptCount val="21"/>
                <c:pt idx="18" formatCode="#,##0">
                  <c:v>3007.256240041781</c:v>
                </c:pt>
                <c:pt idx="19" formatCode="#,##0">
                  <c:v>3007.256240041781</c:v>
                </c:pt>
                <c:pt idx="20" formatCode="#,##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CC3-4BB9-96D1-536F254CF740}"/>
            </c:ext>
          </c:extLst>
        </c:ser>
        <c:ser>
          <c:idx val="11"/>
          <c:order val="11"/>
          <c:tx>
            <c:strRef>
              <c:f>AfA!$B$90</c:f>
              <c:strCache>
                <c:ptCount val="1"/>
                <c:pt idx="0">
                  <c:v>Punkt11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AfA!$C$78:$W$78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AfA!$C$90:$W$90</c:f>
              <c:numCache>
                <c:formatCode>General</c:formatCode>
                <c:ptCount val="21"/>
                <c:pt idx="20" formatCode="#,##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CC3-4BB9-96D1-536F254CF740}"/>
            </c:ext>
          </c:extLst>
        </c:ser>
        <c:ser>
          <c:idx val="12"/>
          <c:order val="12"/>
          <c:tx>
            <c:strRef>
              <c:f>AfA!$B$91</c:f>
              <c:strCache>
                <c:ptCount val="1"/>
                <c:pt idx="0">
                  <c:v>Linear</c:v>
                </c:pt>
              </c:strCache>
            </c:strRef>
          </c:tx>
          <c:spPr>
            <a:ln w="12700" cap="rnd" cmpd="dbl">
              <a:solidFill>
                <a:schemeClr val="bg1">
                  <a:lumMod val="50000"/>
                </a:schemeClr>
              </a:solidFill>
              <a:prstDash val="lgDashDot"/>
              <a:round/>
            </a:ln>
            <a:effectLst/>
          </c:spPr>
          <c:marker>
            <c:symbol val="none"/>
          </c:marker>
          <c:xVal>
            <c:numRef>
              <c:f>AfA!$C$78:$W$78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AfA!$C$91:$W$91</c:f>
              <c:numCache>
                <c:formatCode>#,##0</c:formatCode>
                <c:ptCount val="21"/>
                <c:pt idx="0">
                  <c:v>100000</c:v>
                </c:pt>
                <c:pt idx="1">
                  <c:v>90000</c:v>
                </c:pt>
                <c:pt idx="2">
                  <c:v>90000</c:v>
                </c:pt>
                <c:pt idx="3">
                  <c:v>80000</c:v>
                </c:pt>
                <c:pt idx="4">
                  <c:v>80000</c:v>
                </c:pt>
                <c:pt idx="5">
                  <c:v>70000</c:v>
                </c:pt>
                <c:pt idx="6">
                  <c:v>70000</c:v>
                </c:pt>
                <c:pt idx="7">
                  <c:v>60000</c:v>
                </c:pt>
                <c:pt idx="8">
                  <c:v>60000</c:v>
                </c:pt>
                <c:pt idx="9">
                  <c:v>50000</c:v>
                </c:pt>
                <c:pt idx="10">
                  <c:v>50000</c:v>
                </c:pt>
                <c:pt idx="11">
                  <c:v>40000</c:v>
                </c:pt>
                <c:pt idx="12">
                  <c:v>40000</c:v>
                </c:pt>
                <c:pt idx="13">
                  <c:v>30000</c:v>
                </c:pt>
                <c:pt idx="14">
                  <c:v>30000</c:v>
                </c:pt>
                <c:pt idx="15">
                  <c:v>20000</c:v>
                </c:pt>
                <c:pt idx="16">
                  <c:v>20000</c:v>
                </c:pt>
                <c:pt idx="17">
                  <c:v>10000</c:v>
                </c:pt>
                <c:pt idx="18">
                  <c:v>10000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4CC3-4BB9-96D1-536F254CF740}"/>
            </c:ext>
          </c:extLst>
        </c:ser>
        <c:ser>
          <c:idx val="13"/>
          <c:order val="13"/>
          <c:tx>
            <c:strRef>
              <c:f>AfA!$B$92</c:f>
              <c:strCache>
                <c:ptCount val="1"/>
                <c:pt idx="0">
                  <c:v>Durchschnitt</c:v>
                </c:pt>
              </c:strCache>
            </c:strRef>
          </c:tx>
          <c:spPr>
            <a:ln w="12700" cap="rnd">
              <a:solidFill>
                <a:schemeClr val="accent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AfA!$C$78:$W$78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AfA!$C$92:$W$92</c:f>
              <c:numCache>
                <c:formatCode>#,##0</c:formatCode>
                <c:ptCount val="21"/>
                <c:pt idx="0">
                  <c:v>34519.068218029868</c:v>
                </c:pt>
                <c:pt idx="1">
                  <c:v>34519.068218029868</c:v>
                </c:pt>
                <c:pt idx="2">
                  <c:v>34519.068218029868</c:v>
                </c:pt>
                <c:pt idx="3">
                  <c:v>34519.068218029868</c:v>
                </c:pt>
                <c:pt idx="4">
                  <c:v>34519.068218029868</c:v>
                </c:pt>
                <c:pt idx="5">
                  <c:v>34519.068218029868</c:v>
                </c:pt>
                <c:pt idx="6">
                  <c:v>34519.068218029868</c:v>
                </c:pt>
                <c:pt idx="7">
                  <c:v>34519.068218029868</c:v>
                </c:pt>
                <c:pt idx="8">
                  <c:v>34519.068218029868</c:v>
                </c:pt>
                <c:pt idx="9">
                  <c:v>34519.068218029868</c:v>
                </c:pt>
                <c:pt idx="10">
                  <c:v>34519.068218029868</c:v>
                </c:pt>
                <c:pt idx="11">
                  <c:v>34519.068218029868</c:v>
                </c:pt>
                <c:pt idx="12">
                  <c:v>34519.068218029868</c:v>
                </c:pt>
                <c:pt idx="13">
                  <c:v>34519.068218029868</c:v>
                </c:pt>
                <c:pt idx="14">
                  <c:v>34519.068218029868</c:v>
                </c:pt>
                <c:pt idx="15">
                  <c:v>34519.068218029868</c:v>
                </c:pt>
                <c:pt idx="16">
                  <c:v>34519.068218029868</c:v>
                </c:pt>
                <c:pt idx="17">
                  <c:v>34519.068218029868</c:v>
                </c:pt>
                <c:pt idx="18">
                  <c:v>34519.068218029868</c:v>
                </c:pt>
                <c:pt idx="19">
                  <c:v>34519.068218029868</c:v>
                </c:pt>
                <c:pt idx="20">
                  <c:v>34519.068218029868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4CC3-4BB9-96D1-536F254CF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425792"/>
        <c:axId val="606433664"/>
      </c:scatterChart>
      <c:valAx>
        <c:axId val="606425792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Perioden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6433664"/>
        <c:crosses val="autoZero"/>
        <c:crossBetween val="midCat"/>
        <c:majorUnit val="1"/>
      </c:valAx>
      <c:valAx>
        <c:axId val="606433664"/>
        <c:scaling>
          <c:orientation val="minMax"/>
          <c:max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Anlagewert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6425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87974364518059"/>
          <c:y val="3.2407407407407406E-2"/>
          <c:w val="0.76933985394055815"/>
          <c:h val="0.8416746864975212"/>
        </c:manualLayout>
      </c:layout>
      <c:scatterChart>
        <c:scatterStyle val="lineMarker"/>
        <c:varyColors val="0"/>
        <c:ser>
          <c:idx val="0"/>
          <c:order val="0"/>
          <c:tx>
            <c:strRef>
              <c:f>AfA!$B$30</c:f>
              <c:strCache>
                <c:ptCount val="1"/>
                <c:pt idx="0">
                  <c:v>AV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AfA!$C$29:$W$29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AfA!$C$30:$W$30</c:f>
              <c:numCache>
                <c:formatCode>#,##0</c:formatCode>
                <c:ptCount val="21"/>
                <c:pt idx="0">
                  <c:v>100000</c:v>
                </c:pt>
                <c:pt idx="1">
                  <c:v>90000</c:v>
                </c:pt>
                <c:pt idx="2">
                  <c:v>90000</c:v>
                </c:pt>
                <c:pt idx="3">
                  <c:v>80000</c:v>
                </c:pt>
                <c:pt idx="4">
                  <c:v>80000</c:v>
                </c:pt>
                <c:pt idx="5">
                  <c:v>70000</c:v>
                </c:pt>
                <c:pt idx="6">
                  <c:v>70000</c:v>
                </c:pt>
                <c:pt idx="7">
                  <c:v>60000</c:v>
                </c:pt>
                <c:pt idx="8">
                  <c:v>60000</c:v>
                </c:pt>
                <c:pt idx="9">
                  <c:v>50000</c:v>
                </c:pt>
                <c:pt idx="10">
                  <c:v>50000</c:v>
                </c:pt>
                <c:pt idx="11">
                  <c:v>40000</c:v>
                </c:pt>
                <c:pt idx="12">
                  <c:v>40000</c:v>
                </c:pt>
                <c:pt idx="13">
                  <c:v>30000</c:v>
                </c:pt>
                <c:pt idx="14">
                  <c:v>30000</c:v>
                </c:pt>
                <c:pt idx="15">
                  <c:v>20000</c:v>
                </c:pt>
                <c:pt idx="16">
                  <c:v>20000</c:v>
                </c:pt>
                <c:pt idx="17">
                  <c:v>10000</c:v>
                </c:pt>
                <c:pt idx="18">
                  <c:v>10000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45-4B64-80E8-125806D90DCB}"/>
            </c:ext>
          </c:extLst>
        </c:ser>
        <c:ser>
          <c:idx val="1"/>
          <c:order val="1"/>
          <c:tx>
            <c:strRef>
              <c:f>AfA!$B$31</c:f>
              <c:strCache>
                <c:ptCount val="1"/>
                <c:pt idx="0">
                  <c:v>Punkt1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AfA!$C$29:$W$29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AfA!$C$31:$W$31</c:f>
              <c:numCache>
                <c:formatCode>#,##0</c:formatCode>
                <c:ptCount val="21"/>
                <c:pt idx="0">
                  <c:v>100000</c:v>
                </c:pt>
                <c:pt idx="1">
                  <c:v>100000</c:v>
                </c:pt>
                <c:pt idx="2">
                  <c:v>90000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45-4B64-80E8-125806D90DCB}"/>
            </c:ext>
          </c:extLst>
        </c:ser>
        <c:ser>
          <c:idx val="2"/>
          <c:order val="2"/>
          <c:tx>
            <c:strRef>
              <c:f>AfA!$B$32</c:f>
              <c:strCache>
                <c:ptCount val="1"/>
                <c:pt idx="0">
                  <c:v>Punkt2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AfA!$C$29:$W$29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AfA!$C$32:$W$32</c:f>
              <c:numCache>
                <c:formatCode>#,##0</c:formatCode>
                <c:ptCount val="21"/>
                <c:pt idx="2">
                  <c:v>90000</c:v>
                </c:pt>
                <c:pt idx="3">
                  <c:v>90000</c:v>
                </c:pt>
                <c:pt idx="4">
                  <c:v>80000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45-4B64-80E8-125806D90DCB}"/>
            </c:ext>
          </c:extLst>
        </c:ser>
        <c:ser>
          <c:idx val="3"/>
          <c:order val="3"/>
          <c:tx>
            <c:strRef>
              <c:f>AfA!$B$33</c:f>
              <c:strCache>
                <c:ptCount val="1"/>
                <c:pt idx="0">
                  <c:v>Punkt3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AfA!$C$29:$W$29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AfA!$C$33:$W$33</c:f>
              <c:numCache>
                <c:formatCode>#,##0</c:formatCode>
                <c:ptCount val="21"/>
                <c:pt idx="4">
                  <c:v>80000</c:v>
                </c:pt>
                <c:pt idx="5">
                  <c:v>80000</c:v>
                </c:pt>
                <c:pt idx="6">
                  <c:v>70000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45-4B64-80E8-125806D90DCB}"/>
            </c:ext>
          </c:extLst>
        </c:ser>
        <c:ser>
          <c:idx val="4"/>
          <c:order val="4"/>
          <c:tx>
            <c:strRef>
              <c:f>AfA!$B$34</c:f>
              <c:strCache>
                <c:ptCount val="1"/>
                <c:pt idx="0">
                  <c:v>Punkt4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AfA!$C$29:$W$29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AfA!$C$34:$W$34</c:f>
              <c:numCache>
                <c:formatCode>#,##0</c:formatCode>
                <c:ptCount val="21"/>
                <c:pt idx="6">
                  <c:v>70000</c:v>
                </c:pt>
                <c:pt idx="7">
                  <c:v>70000</c:v>
                </c:pt>
                <c:pt idx="8">
                  <c:v>60000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F45-4B64-80E8-125806D90DCB}"/>
            </c:ext>
          </c:extLst>
        </c:ser>
        <c:ser>
          <c:idx val="5"/>
          <c:order val="5"/>
          <c:tx>
            <c:strRef>
              <c:f>AfA!$B$35</c:f>
              <c:strCache>
                <c:ptCount val="1"/>
                <c:pt idx="0">
                  <c:v>Punkt5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AfA!$C$29:$W$29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AfA!$C$35:$W$35</c:f>
              <c:numCache>
                <c:formatCode>#,##0</c:formatCode>
                <c:ptCount val="21"/>
                <c:pt idx="8">
                  <c:v>60000</c:v>
                </c:pt>
                <c:pt idx="9">
                  <c:v>60000</c:v>
                </c:pt>
                <c:pt idx="10">
                  <c:v>50000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F45-4B64-80E8-125806D90DCB}"/>
            </c:ext>
          </c:extLst>
        </c:ser>
        <c:ser>
          <c:idx val="6"/>
          <c:order val="6"/>
          <c:tx>
            <c:strRef>
              <c:f>AfA!$B$36</c:f>
              <c:strCache>
                <c:ptCount val="1"/>
                <c:pt idx="0">
                  <c:v>Punkt6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AfA!$C$29:$W$29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AfA!$C$36:$W$36</c:f>
              <c:numCache>
                <c:formatCode>#,##0</c:formatCode>
                <c:ptCount val="21"/>
                <c:pt idx="10">
                  <c:v>50000</c:v>
                </c:pt>
                <c:pt idx="11">
                  <c:v>50000</c:v>
                </c:pt>
                <c:pt idx="12">
                  <c:v>40000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F45-4B64-80E8-125806D90DCB}"/>
            </c:ext>
          </c:extLst>
        </c:ser>
        <c:ser>
          <c:idx val="7"/>
          <c:order val="7"/>
          <c:tx>
            <c:strRef>
              <c:f>AfA!$B$37</c:f>
              <c:strCache>
                <c:ptCount val="1"/>
                <c:pt idx="0">
                  <c:v>Punkt7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AfA!$C$29:$W$29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AfA!$C$37:$W$37</c:f>
              <c:numCache>
                <c:formatCode>#,##0</c:formatCode>
                <c:ptCount val="21"/>
                <c:pt idx="12">
                  <c:v>40000</c:v>
                </c:pt>
                <c:pt idx="13">
                  <c:v>40000</c:v>
                </c:pt>
                <c:pt idx="14">
                  <c:v>30000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F45-4B64-80E8-125806D90DCB}"/>
            </c:ext>
          </c:extLst>
        </c:ser>
        <c:ser>
          <c:idx val="8"/>
          <c:order val="8"/>
          <c:tx>
            <c:strRef>
              <c:f>AfA!$B$38</c:f>
              <c:strCache>
                <c:ptCount val="1"/>
                <c:pt idx="0">
                  <c:v>Punkt8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AfA!$C$29:$W$29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AfA!$C$38:$W$38</c:f>
              <c:numCache>
                <c:formatCode>General</c:formatCode>
                <c:ptCount val="21"/>
                <c:pt idx="14" formatCode="#,##0">
                  <c:v>30000</c:v>
                </c:pt>
                <c:pt idx="15" formatCode="#,##0">
                  <c:v>30000</c:v>
                </c:pt>
                <c:pt idx="16" formatCode="#,##0">
                  <c:v>20000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F45-4B64-80E8-125806D90DCB}"/>
            </c:ext>
          </c:extLst>
        </c:ser>
        <c:ser>
          <c:idx val="9"/>
          <c:order val="9"/>
          <c:tx>
            <c:strRef>
              <c:f>AfA!$B$39</c:f>
              <c:strCache>
                <c:ptCount val="1"/>
                <c:pt idx="0">
                  <c:v>Punkt9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AfA!$C$29:$W$29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AfA!$C$39:$W$39</c:f>
              <c:numCache>
                <c:formatCode>General</c:formatCode>
                <c:ptCount val="21"/>
                <c:pt idx="16" formatCode="#,##0">
                  <c:v>20000</c:v>
                </c:pt>
                <c:pt idx="17" formatCode="#,##0">
                  <c:v>20000</c:v>
                </c:pt>
                <c:pt idx="18" formatCode="#,##0">
                  <c:v>10000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F45-4B64-80E8-125806D90DCB}"/>
            </c:ext>
          </c:extLst>
        </c:ser>
        <c:ser>
          <c:idx val="10"/>
          <c:order val="10"/>
          <c:tx>
            <c:strRef>
              <c:f>AfA!$B$40</c:f>
              <c:strCache>
                <c:ptCount val="1"/>
                <c:pt idx="0">
                  <c:v>Punkt10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AfA!$C$29:$W$29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AfA!$C$40:$W$40</c:f>
              <c:numCache>
                <c:formatCode>General</c:formatCode>
                <c:ptCount val="21"/>
                <c:pt idx="18" formatCode="#,##0">
                  <c:v>10000</c:v>
                </c:pt>
                <c:pt idx="19" formatCode="#,##0">
                  <c:v>10000</c:v>
                </c:pt>
                <c:pt idx="20" formatCode="#,##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F45-4B64-80E8-125806D90DCB}"/>
            </c:ext>
          </c:extLst>
        </c:ser>
        <c:ser>
          <c:idx val="11"/>
          <c:order val="11"/>
          <c:tx>
            <c:strRef>
              <c:f>AfA!$B$41</c:f>
              <c:strCache>
                <c:ptCount val="1"/>
                <c:pt idx="0">
                  <c:v>Punkt11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AfA!$C$29:$W$29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AfA!$C$41:$W$41</c:f>
              <c:numCache>
                <c:formatCode>General</c:formatCode>
                <c:ptCount val="21"/>
                <c:pt idx="20" formatCode="#,##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F45-4B64-80E8-125806D90DCB}"/>
            </c:ext>
          </c:extLst>
        </c:ser>
        <c:ser>
          <c:idx val="12"/>
          <c:order val="12"/>
          <c:tx>
            <c:strRef>
              <c:f>AfA!$B$42</c:f>
              <c:strCache>
                <c:ptCount val="1"/>
                <c:pt idx="0">
                  <c:v>Durchschnitt</c:v>
                </c:pt>
              </c:strCache>
            </c:strRef>
          </c:tx>
          <c:spPr>
            <a:ln w="12700" cap="rnd">
              <a:solidFill>
                <a:schemeClr val="accent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AfA!$C$29:$W$29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AfA!$C$42:$W$42</c:f>
              <c:numCache>
                <c:formatCode>General</c:formatCode>
                <c:ptCount val="21"/>
                <c:pt idx="0">
                  <c:v>50000</c:v>
                </c:pt>
                <c:pt idx="1">
                  <c:v>50000</c:v>
                </c:pt>
                <c:pt idx="2">
                  <c:v>50000</c:v>
                </c:pt>
                <c:pt idx="3">
                  <c:v>50000</c:v>
                </c:pt>
                <c:pt idx="4">
                  <c:v>50000</c:v>
                </c:pt>
                <c:pt idx="5">
                  <c:v>50000</c:v>
                </c:pt>
                <c:pt idx="6">
                  <c:v>50000</c:v>
                </c:pt>
                <c:pt idx="7">
                  <c:v>50000</c:v>
                </c:pt>
                <c:pt idx="8">
                  <c:v>50000</c:v>
                </c:pt>
                <c:pt idx="9">
                  <c:v>50000</c:v>
                </c:pt>
                <c:pt idx="10">
                  <c:v>50000</c:v>
                </c:pt>
                <c:pt idx="11">
                  <c:v>50000</c:v>
                </c:pt>
                <c:pt idx="12">
                  <c:v>50000</c:v>
                </c:pt>
                <c:pt idx="13">
                  <c:v>50000</c:v>
                </c:pt>
                <c:pt idx="14">
                  <c:v>50000</c:v>
                </c:pt>
                <c:pt idx="15">
                  <c:v>50000</c:v>
                </c:pt>
                <c:pt idx="16">
                  <c:v>50000</c:v>
                </c:pt>
                <c:pt idx="17">
                  <c:v>50000</c:v>
                </c:pt>
                <c:pt idx="18">
                  <c:v>50000</c:v>
                </c:pt>
                <c:pt idx="19">
                  <c:v>50000</c:v>
                </c:pt>
                <c:pt idx="20">
                  <c:v>50000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F45-4B64-80E8-125806D90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425792"/>
        <c:axId val="606433664"/>
      </c:scatterChart>
      <c:valAx>
        <c:axId val="606425792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Perioden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6433664"/>
        <c:crosses val="autoZero"/>
        <c:crossBetween val="midCat"/>
        <c:majorUnit val="1"/>
      </c:valAx>
      <c:valAx>
        <c:axId val="606433664"/>
        <c:scaling>
          <c:orientation val="minMax"/>
          <c:max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Anlagewert</a:t>
                </a:r>
              </a:p>
            </c:rich>
          </c:tx>
          <c:layout>
            <c:manualLayout>
              <c:xMode val="edge"/>
              <c:yMode val="edge"/>
              <c:x val="0"/>
              <c:y val="0.32647382618839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6425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188747731397461E-2"/>
          <c:y val="4.1666779695040408E-2"/>
          <c:w val="0.89655172413793105"/>
          <c:h val="0.80833552608378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Traktor!$B$14</c:f>
              <c:strCache>
                <c:ptCount val="1"/>
                <c:pt idx="0">
                  <c:v>Abschreibung (fest)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Traktor!$F$9:$U$9</c:f>
              <c:numCache>
                <c:formatCode>General_)</c:formatCode>
                <c:ptCount val="16"/>
                <c:pt idx="0">
                  <c:v>250</c:v>
                </c:pt>
                <c:pt idx="1">
                  <c:v>300</c:v>
                </c:pt>
                <c:pt idx="2">
                  <c:v>350</c:v>
                </c:pt>
                <c:pt idx="3">
                  <c:v>400</c:v>
                </c:pt>
                <c:pt idx="4">
                  <c:v>450</c:v>
                </c:pt>
                <c:pt idx="5">
                  <c:v>500</c:v>
                </c:pt>
                <c:pt idx="6">
                  <c:v>550</c:v>
                </c:pt>
                <c:pt idx="7">
                  <c:v>600</c:v>
                </c:pt>
                <c:pt idx="8">
                  <c:v>650</c:v>
                </c:pt>
                <c:pt idx="9">
                  <c:v>700</c:v>
                </c:pt>
                <c:pt idx="10">
                  <c:v>750</c:v>
                </c:pt>
                <c:pt idx="11">
                  <c:v>800</c:v>
                </c:pt>
                <c:pt idx="12">
                  <c:v>850</c:v>
                </c:pt>
                <c:pt idx="13">
                  <c:v>900</c:v>
                </c:pt>
                <c:pt idx="14">
                  <c:v>950</c:v>
                </c:pt>
                <c:pt idx="15">
                  <c:v>1000</c:v>
                </c:pt>
              </c:numCache>
            </c:numRef>
          </c:cat>
          <c:val>
            <c:numRef>
              <c:f>Traktor!$F$15:$U$15</c:f>
              <c:numCache>
                <c:formatCode>#,##0.00\ </c:formatCode>
                <c:ptCount val="16"/>
                <c:pt idx="0">
                  <c:v>30</c:v>
                </c:pt>
                <c:pt idx="1">
                  <c:v>25</c:v>
                </c:pt>
                <c:pt idx="2">
                  <c:v>21.428571428571427</c:v>
                </c:pt>
                <c:pt idx="3">
                  <c:v>18.75</c:v>
                </c:pt>
                <c:pt idx="4">
                  <c:v>16.666666666666668</c:v>
                </c:pt>
                <c:pt idx="5">
                  <c:v>15</c:v>
                </c:pt>
                <c:pt idx="6">
                  <c:v>13.636363636363637</c:v>
                </c:pt>
                <c:pt idx="7">
                  <c:v>12.5</c:v>
                </c:pt>
                <c:pt idx="8">
                  <c:v>11.538461538461538</c:v>
                </c:pt>
                <c:pt idx="9">
                  <c:v>10.714285714285714</c:v>
                </c:pt>
                <c:pt idx="10">
                  <c:v>10</c:v>
                </c:pt>
                <c:pt idx="11">
                  <c:v>9.375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CB-45EF-A912-8EBDFA62065C}"/>
            </c:ext>
          </c:extLst>
        </c:ser>
        <c:ser>
          <c:idx val="4"/>
          <c:order val="1"/>
          <c:tx>
            <c:strRef>
              <c:f>Traktor!$B$25</c:f>
              <c:strCache>
                <c:ptCount val="1"/>
                <c:pt idx="0">
                  <c:v>Abschreibung (var)</c:v>
                </c:pt>
              </c:strCache>
            </c:strRef>
          </c:tx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Traktor!$F$9:$U$9</c:f>
              <c:numCache>
                <c:formatCode>General_)</c:formatCode>
                <c:ptCount val="16"/>
                <c:pt idx="0">
                  <c:v>250</c:v>
                </c:pt>
                <c:pt idx="1">
                  <c:v>300</c:v>
                </c:pt>
                <c:pt idx="2">
                  <c:v>350</c:v>
                </c:pt>
                <c:pt idx="3">
                  <c:v>400</c:v>
                </c:pt>
                <c:pt idx="4">
                  <c:v>450</c:v>
                </c:pt>
                <c:pt idx="5">
                  <c:v>500</c:v>
                </c:pt>
                <c:pt idx="6">
                  <c:v>550</c:v>
                </c:pt>
                <c:pt idx="7">
                  <c:v>600</c:v>
                </c:pt>
                <c:pt idx="8">
                  <c:v>650</c:v>
                </c:pt>
                <c:pt idx="9">
                  <c:v>700</c:v>
                </c:pt>
                <c:pt idx="10">
                  <c:v>750</c:v>
                </c:pt>
                <c:pt idx="11">
                  <c:v>800</c:v>
                </c:pt>
                <c:pt idx="12">
                  <c:v>850</c:v>
                </c:pt>
                <c:pt idx="13">
                  <c:v>900</c:v>
                </c:pt>
                <c:pt idx="14">
                  <c:v>950</c:v>
                </c:pt>
                <c:pt idx="15">
                  <c:v>1000</c:v>
                </c:pt>
              </c:numCache>
            </c:numRef>
          </c:cat>
          <c:val>
            <c:numRef>
              <c:f>Traktor!$F$25:$U$25</c:f>
              <c:numCache>
                <c:formatCode>#,##0.00\ 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CB-45EF-A912-8EBDFA62065C}"/>
            </c:ext>
          </c:extLst>
        </c:ser>
        <c:ser>
          <c:idx val="1"/>
          <c:order val="2"/>
          <c:tx>
            <c:strRef>
              <c:f>Traktor!$B$16</c:f>
              <c:strCache>
                <c:ptCount val="1"/>
                <c:pt idx="0">
                  <c:v>Zinsanspruch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Traktor!$F$9:$U$9</c:f>
              <c:numCache>
                <c:formatCode>General_)</c:formatCode>
                <c:ptCount val="16"/>
                <c:pt idx="0">
                  <c:v>250</c:v>
                </c:pt>
                <c:pt idx="1">
                  <c:v>300</c:v>
                </c:pt>
                <c:pt idx="2">
                  <c:v>350</c:v>
                </c:pt>
                <c:pt idx="3">
                  <c:v>400</c:v>
                </c:pt>
                <c:pt idx="4">
                  <c:v>450</c:v>
                </c:pt>
                <c:pt idx="5">
                  <c:v>500</c:v>
                </c:pt>
                <c:pt idx="6">
                  <c:v>550</c:v>
                </c:pt>
                <c:pt idx="7">
                  <c:v>600</c:v>
                </c:pt>
                <c:pt idx="8">
                  <c:v>650</c:v>
                </c:pt>
                <c:pt idx="9">
                  <c:v>700</c:v>
                </c:pt>
                <c:pt idx="10">
                  <c:v>750</c:v>
                </c:pt>
                <c:pt idx="11">
                  <c:v>800</c:v>
                </c:pt>
                <c:pt idx="12">
                  <c:v>850</c:v>
                </c:pt>
                <c:pt idx="13">
                  <c:v>900</c:v>
                </c:pt>
                <c:pt idx="14">
                  <c:v>950</c:v>
                </c:pt>
                <c:pt idx="15">
                  <c:v>1000</c:v>
                </c:pt>
              </c:numCache>
            </c:numRef>
          </c:cat>
          <c:val>
            <c:numRef>
              <c:f>Traktor!$F$17:$U$17</c:f>
              <c:numCache>
                <c:formatCode>#,##0.00\ </c:formatCode>
                <c:ptCount val="16"/>
                <c:pt idx="0">
                  <c:v>6.6</c:v>
                </c:pt>
                <c:pt idx="1">
                  <c:v>5.5</c:v>
                </c:pt>
                <c:pt idx="2">
                  <c:v>4.7142857142857144</c:v>
                </c:pt>
                <c:pt idx="3">
                  <c:v>4.125</c:v>
                </c:pt>
                <c:pt idx="4">
                  <c:v>3.6666666666666665</c:v>
                </c:pt>
                <c:pt idx="5">
                  <c:v>3.3</c:v>
                </c:pt>
                <c:pt idx="6">
                  <c:v>3</c:v>
                </c:pt>
                <c:pt idx="7">
                  <c:v>2.75</c:v>
                </c:pt>
                <c:pt idx="8">
                  <c:v>2.5384615384615383</c:v>
                </c:pt>
                <c:pt idx="9">
                  <c:v>2.3571428571428572</c:v>
                </c:pt>
                <c:pt idx="10">
                  <c:v>2.2000000000000002</c:v>
                </c:pt>
                <c:pt idx="11">
                  <c:v>2.0625</c:v>
                </c:pt>
                <c:pt idx="12">
                  <c:v>1.9411764705882353</c:v>
                </c:pt>
                <c:pt idx="13">
                  <c:v>1.8333333333333333</c:v>
                </c:pt>
                <c:pt idx="14">
                  <c:v>1.736842105263158</c:v>
                </c:pt>
                <c:pt idx="15">
                  <c:v>1.65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CB-45EF-A912-8EBDFA62065C}"/>
            </c:ext>
          </c:extLst>
        </c:ser>
        <c:ser>
          <c:idx val="2"/>
          <c:order val="3"/>
          <c:tx>
            <c:strRef>
              <c:f>Traktor!$B$18</c:f>
              <c:strCache>
                <c:ptCount val="1"/>
                <c:pt idx="0">
                  <c:v>Versicherung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Traktor!$F$9:$U$9</c:f>
              <c:numCache>
                <c:formatCode>General_)</c:formatCode>
                <c:ptCount val="16"/>
                <c:pt idx="0">
                  <c:v>250</c:v>
                </c:pt>
                <c:pt idx="1">
                  <c:v>300</c:v>
                </c:pt>
                <c:pt idx="2">
                  <c:v>350</c:v>
                </c:pt>
                <c:pt idx="3">
                  <c:v>400</c:v>
                </c:pt>
                <c:pt idx="4">
                  <c:v>450</c:v>
                </c:pt>
                <c:pt idx="5">
                  <c:v>500</c:v>
                </c:pt>
                <c:pt idx="6">
                  <c:v>550</c:v>
                </c:pt>
                <c:pt idx="7">
                  <c:v>600</c:v>
                </c:pt>
                <c:pt idx="8">
                  <c:v>650</c:v>
                </c:pt>
                <c:pt idx="9">
                  <c:v>700</c:v>
                </c:pt>
                <c:pt idx="10">
                  <c:v>750</c:v>
                </c:pt>
                <c:pt idx="11">
                  <c:v>800</c:v>
                </c:pt>
                <c:pt idx="12">
                  <c:v>850</c:v>
                </c:pt>
                <c:pt idx="13">
                  <c:v>900</c:v>
                </c:pt>
                <c:pt idx="14">
                  <c:v>950</c:v>
                </c:pt>
                <c:pt idx="15">
                  <c:v>1000</c:v>
                </c:pt>
              </c:numCache>
            </c:numRef>
          </c:cat>
          <c:val>
            <c:numRef>
              <c:f>Traktor!$F$19:$U$19</c:f>
              <c:numCache>
                <c:formatCode>#,##0.00\ </c:formatCode>
                <c:ptCount val="16"/>
                <c:pt idx="0">
                  <c:v>2.6000000000000005</c:v>
                </c:pt>
                <c:pt idx="1">
                  <c:v>2.166666666666667</c:v>
                </c:pt>
                <c:pt idx="2">
                  <c:v>1.8571428571428574</c:v>
                </c:pt>
                <c:pt idx="3">
                  <c:v>1.6250000000000002</c:v>
                </c:pt>
                <c:pt idx="4">
                  <c:v>1.4444444444444446</c:v>
                </c:pt>
                <c:pt idx="5">
                  <c:v>1.3000000000000003</c:v>
                </c:pt>
                <c:pt idx="6">
                  <c:v>1.1818181818181821</c:v>
                </c:pt>
                <c:pt idx="7">
                  <c:v>1.0833333333333335</c:v>
                </c:pt>
                <c:pt idx="8">
                  <c:v>1.0000000000000002</c:v>
                </c:pt>
                <c:pt idx="9">
                  <c:v>0.92857142857142871</c:v>
                </c:pt>
                <c:pt idx="10">
                  <c:v>0.86666666666666681</c:v>
                </c:pt>
                <c:pt idx="11">
                  <c:v>0.81250000000000011</c:v>
                </c:pt>
                <c:pt idx="12">
                  <c:v>0.76470588235294135</c:v>
                </c:pt>
                <c:pt idx="13">
                  <c:v>0.72222222222222232</c:v>
                </c:pt>
                <c:pt idx="14">
                  <c:v>0.6842105263157896</c:v>
                </c:pt>
                <c:pt idx="15">
                  <c:v>0.65000000000000013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CB-45EF-A912-8EBDFA62065C}"/>
            </c:ext>
          </c:extLst>
        </c:ser>
        <c:ser>
          <c:idx val="3"/>
          <c:order val="4"/>
          <c:tx>
            <c:strRef>
              <c:f>Traktor!$B$20</c:f>
              <c:strCache>
                <c:ptCount val="1"/>
                <c:pt idx="0">
                  <c:v>Unterbringung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Traktor!$F$9:$U$9</c:f>
              <c:numCache>
                <c:formatCode>General_)</c:formatCode>
                <c:ptCount val="16"/>
                <c:pt idx="0">
                  <c:v>250</c:v>
                </c:pt>
                <c:pt idx="1">
                  <c:v>300</c:v>
                </c:pt>
                <c:pt idx="2">
                  <c:v>350</c:v>
                </c:pt>
                <c:pt idx="3">
                  <c:v>400</c:v>
                </c:pt>
                <c:pt idx="4">
                  <c:v>450</c:v>
                </c:pt>
                <c:pt idx="5">
                  <c:v>500</c:v>
                </c:pt>
                <c:pt idx="6">
                  <c:v>550</c:v>
                </c:pt>
                <c:pt idx="7">
                  <c:v>600</c:v>
                </c:pt>
                <c:pt idx="8">
                  <c:v>650</c:v>
                </c:pt>
                <c:pt idx="9">
                  <c:v>700</c:v>
                </c:pt>
                <c:pt idx="10">
                  <c:v>750</c:v>
                </c:pt>
                <c:pt idx="11">
                  <c:v>800</c:v>
                </c:pt>
                <c:pt idx="12">
                  <c:v>850</c:v>
                </c:pt>
                <c:pt idx="13">
                  <c:v>900</c:v>
                </c:pt>
                <c:pt idx="14">
                  <c:v>950</c:v>
                </c:pt>
                <c:pt idx="15">
                  <c:v>1000</c:v>
                </c:pt>
              </c:numCache>
            </c:numRef>
          </c:cat>
          <c:val>
            <c:numRef>
              <c:f>Traktor!$F$21:$U$21</c:f>
              <c:numCache>
                <c:formatCode>#,##0.00\ </c:formatCode>
                <c:ptCount val="16"/>
                <c:pt idx="0">
                  <c:v>0.8</c:v>
                </c:pt>
                <c:pt idx="1">
                  <c:v>0.66666666666666663</c:v>
                </c:pt>
                <c:pt idx="2">
                  <c:v>0.5714285714285714</c:v>
                </c:pt>
                <c:pt idx="3">
                  <c:v>0.5</c:v>
                </c:pt>
                <c:pt idx="4">
                  <c:v>0.44444444444444442</c:v>
                </c:pt>
                <c:pt idx="5">
                  <c:v>0.4</c:v>
                </c:pt>
                <c:pt idx="6">
                  <c:v>0.36363636363636365</c:v>
                </c:pt>
                <c:pt idx="7">
                  <c:v>0.33333333333333331</c:v>
                </c:pt>
                <c:pt idx="8">
                  <c:v>0.30769230769230771</c:v>
                </c:pt>
                <c:pt idx="9">
                  <c:v>0.2857142857142857</c:v>
                </c:pt>
                <c:pt idx="10">
                  <c:v>0.26666666666666666</c:v>
                </c:pt>
                <c:pt idx="11">
                  <c:v>0.25</c:v>
                </c:pt>
                <c:pt idx="12">
                  <c:v>0.23529411764705882</c:v>
                </c:pt>
                <c:pt idx="13">
                  <c:v>0.22222222222222221</c:v>
                </c:pt>
                <c:pt idx="14">
                  <c:v>0.21052631578947367</c:v>
                </c:pt>
                <c:pt idx="1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CB-45EF-A912-8EBDFA62065C}"/>
            </c:ext>
          </c:extLst>
        </c:ser>
        <c:ser>
          <c:idx val="5"/>
          <c:order val="5"/>
          <c:tx>
            <c:strRef>
              <c:f>Traktor!$B$27</c:f>
              <c:strCache>
                <c:ptCount val="1"/>
                <c:pt idx="0">
                  <c:v>Reparaturkosten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Traktor!$F$9:$U$9</c:f>
              <c:numCache>
                <c:formatCode>General_)</c:formatCode>
                <c:ptCount val="16"/>
                <c:pt idx="0">
                  <c:v>250</c:v>
                </c:pt>
                <c:pt idx="1">
                  <c:v>300</c:v>
                </c:pt>
                <c:pt idx="2">
                  <c:v>350</c:v>
                </c:pt>
                <c:pt idx="3">
                  <c:v>400</c:v>
                </c:pt>
                <c:pt idx="4">
                  <c:v>450</c:v>
                </c:pt>
                <c:pt idx="5">
                  <c:v>500</c:v>
                </c:pt>
                <c:pt idx="6">
                  <c:v>550</c:v>
                </c:pt>
                <c:pt idx="7">
                  <c:v>600</c:v>
                </c:pt>
                <c:pt idx="8">
                  <c:v>650</c:v>
                </c:pt>
                <c:pt idx="9">
                  <c:v>700</c:v>
                </c:pt>
                <c:pt idx="10">
                  <c:v>750</c:v>
                </c:pt>
                <c:pt idx="11">
                  <c:v>800</c:v>
                </c:pt>
                <c:pt idx="12">
                  <c:v>850</c:v>
                </c:pt>
                <c:pt idx="13">
                  <c:v>900</c:v>
                </c:pt>
                <c:pt idx="14">
                  <c:v>950</c:v>
                </c:pt>
                <c:pt idx="15">
                  <c:v>1000</c:v>
                </c:pt>
              </c:numCache>
            </c:numRef>
          </c:cat>
          <c:val>
            <c:numRef>
              <c:f>Traktor!$F$27:$U$27</c:f>
              <c:numCache>
                <c:formatCode>#,##0.00\ </c:formatCode>
                <c:ptCount val="16"/>
                <c:pt idx="0">
                  <c:v>4.2722359485402954</c:v>
                </c:pt>
                <c:pt idx="1">
                  <c:v>4.68</c:v>
                </c:pt>
                <c:pt idx="2">
                  <c:v>5.0549777447581308</c:v>
                </c:pt>
                <c:pt idx="3">
                  <c:v>5.4039985196148974</c:v>
                </c:pt>
                <c:pt idx="4">
                  <c:v>5.7318059981126357</c:v>
                </c:pt>
                <c:pt idx="5">
                  <c:v>6.0418540200835702</c:v>
                </c:pt>
                <c:pt idx="6">
                  <c:v>6.3367499556160487</c:v>
                </c:pt>
                <c:pt idx="7">
                  <c:v>6.6185194719060849</c:v>
                </c:pt>
                <c:pt idx="8">
                  <c:v>6.8887734757357206</c:v>
                </c:pt>
                <c:pt idx="9">
                  <c:v>7.1488180841311104</c:v>
                </c:pt>
                <c:pt idx="10">
                  <c:v>7.3997297247940068</c:v>
                </c:pt>
                <c:pt idx="11">
                  <c:v>7.6424079974835148</c:v>
                </c:pt>
                <c:pt idx="12">
                  <c:v>7.8</c:v>
                </c:pt>
                <c:pt idx="13">
                  <c:v>7.8</c:v>
                </c:pt>
                <c:pt idx="14">
                  <c:v>7.8</c:v>
                </c:pt>
                <c:pt idx="15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CB-45EF-A912-8EBDFA62065C}"/>
            </c:ext>
          </c:extLst>
        </c:ser>
        <c:ser>
          <c:idx val="6"/>
          <c:order val="6"/>
          <c:tx>
            <c:strRef>
              <c:f>Traktor!$B$29</c:f>
              <c:strCache>
                <c:ptCount val="1"/>
                <c:pt idx="0">
                  <c:v>Betriebsstoffkosten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Traktor!$F$9:$U$9</c:f>
              <c:numCache>
                <c:formatCode>General_)</c:formatCode>
                <c:ptCount val="16"/>
                <c:pt idx="0">
                  <c:v>250</c:v>
                </c:pt>
                <c:pt idx="1">
                  <c:v>300</c:v>
                </c:pt>
                <c:pt idx="2">
                  <c:v>350</c:v>
                </c:pt>
                <c:pt idx="3">
                  <c:v>400</c:v>
                </c:pt>
                <c:pt idx="4">
                  <c:v>450</c:v>
                </c:pt>
                <c:pt idx="5">
                  <c:v>500</c:v>
                </c:pt>
                <c:pt idx="6">
                  <c:v>550</c:v>
                </c:pt>
                <c:pt idx="7">
                  <c:v>600</c:v>
                </c:pt>
                <c:pt idx="8">
                  <c:v>650</c:v>
                </c:pt>
                <c:pt idx="9">
                  <c:v>700</c:v>
                </c:pt>
                <c:pt idx="10">
                  <c:v>750</c:v>
                </c:pt>
                <c:pt idx="11">
                  <c:v>800</c:v>
                </c:pt>
                <c:pt idx="12">
                  <c:v>850</c:v>
                </c:pt>
                <c:pt idx="13">
                  <c:v>900</c:v>
                </c:pt>
                <c:pt idx="14">
                  <c:v>950</c:v>
                </c:pt>
                <c:pt idx="15">
                  <c:v>1000</c:v>
                </c:pt>
              </c:numCache>
            </c:numRef>
          </c:cat>
          <c:val>
            <c:numRef>
              <c:f>Traktor!$F$29:$U$29</c:f>
              <c:numCache>
                <c:formatCode>#,##0.00\ </c:formatCode>
                <c:ptCount val="16"/>
                <c:pt idx="0">
                  <c:v>9.9960000000000022</c:v>
                </c:pt>
                <c:pt idx="1">
                  <c:v>9.9960000000000022</c:v>
                </c:pt>
                <c:pt idx="2">
                  <c:v>9.9960000000000022</c:v>
                </c:pt>
                <c:pt idx="3">
                  <c:v>9.9960000000000022</c:v>
                </c:pt>
                <c:pt idx="4">
                  <c:v>9.9960000000000022</c:v>
                </c:pt>
                <c:pt idx="5">
                  <c:v>9.9960000000000022</c:v>
                </c:pt>
                <c:pt idx="6">
                  <c:v>9.9960000000000022</c:v>
                </c:pt>
                <c:pt idx="7">
                  <c:v>9.9960000000000022</c:v>
                </c:pt>
                <c:pt idx="8">
                  <c:v>9.9960000000000022</c:v>
                </c:pt>
                <c:pt idx="9">
                  <c:v>9.9960000000000022</c:v>
                </c:pt>
                <c:pt idx="10">
                  <c:v>9.9960000000000022</c:v>
                </c:pt>
                <c:pt idx="11">
                  <c:v>9.9960000000000022</c:v>
                </c:pt>
                <c:pt idx="12">
                  <c:v>9.9960000000000022</c:v>
                </c:pt>
                <c:pt idx="13">
                  <c:v>9.9960000000000022</c:v>
                </c:pt>
                <c:pt idx="14">
                  <c:v>9.9960000000000022</c:v>
                </c:pt>
                <c:pt idx="15">
                  <c:v>9.9960000000000022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CB-45EF-A912-8EBDFA620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54894976"/>
        <c:axId val="354896896"/>
      </c:barChart>
      <c:catAx>
        <c:axId val="354894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Leistung je Jahr</a:t>
                </a:r>
              </a:p>
            </c:rich>
          </c:tx>
          <c:layout>
            <c:manualLayout>
              <c:xMode val="edge"/>
              <c:yMode val="edge"/>
              <c:x val="0.47186935379536477"/>
              <c:y val="0.930558119890186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4896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48968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Kosten je Leistungseinheit</a:t>
                </a:r>
              </a:p>
            </c:rich>
          </c:tx>
          <c:layout>
            <c:manualLayout>
              <c:xMode val="edge"/>
              <c:yMode val="edge"/>
              <c:x val="1.8148899942747949E-2"/>
              <c:y val="0.2638893414185295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48949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21252035421917"/>
          <c:y val="7.1264367816091953E-2"/>
          <c:w val="0.20538262214390335"/>
          <c:h val="0.422988807433553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19056261343014"/>
          <c:y val="4.1666779695040408E-2"/>
          <c:w val="0.84754990925589835"/>
          <c:h val="0.80833552608378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Traktor!$B$14</c:f>
              <c:strCache>
                <c:ptCount val="1"/>
                <c:pt idx="0">
                  <c:v>Abschreibung (fest)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Traktor!$F$9:$U$9</c:f>
              <c:numCache>
                <c:formatCode>General_)</c:formatCode>
                <c:ptCount val="16"/>
                <c:pt idx="0">
                  <c:v>250</c:v>
                </c:pt>
                <c:pt idx="1">
                  <c:v>300</c:v>
                </c:pt>
                <c:pt idx="2">
                  <c:v>350</c:v>
                </c:pt>
                <c:pt idx="3">
                  <c:v>400</c:v>
                </c:pt>
                <c:pt idx="4">
                  <c:v>450</c:v>
                </c:pt>
                <c:pt idx="5">
                  <c:v>500</c:v>
                </c:pt>
                <c:pt idx="6">
                  <c:v>550</c:v>
                </c:pt>
                <c:pt idx="7">
                  <c:v>600</c:v>
                </c:pt>
                <c:pt idx="8">
                  <c:v>650</c:v>
                </c:pt>
                <c:pt idx="9">
                  <c:v>700</c:v>
                </c:pt>
                <c:pt idx="10">
                  <c:v>750</c:v>
                </c:pt>
                <c:pt idx="11">
                  <c:v>800</c:v>
                </c:pt>
                <c:pt idx="12">
                  <c:v>850</c:v>
                </c:pt>
                <c:pt idx="13">
                  <c:v>900</c:v>
                </c:pt>
                <c:pt idx="14">
                  <c:v>950</c:v>
                </c:pt>
                <c:pt idx="15">
                  <c:v>1000</c:v>
                </c:pt>
              </c:numCache>
            </c:numRef>
          </c:cat>
          <c:val>
            <c:numRef>
              <c:f>Traktor!$F$14:$U$14</c:f>
              <c:numCache>
                <c:formatCode>#,##0\ </c:formatCode>
                <c:ptCount val="16"/>
                <c:pt idx="0">
                  <c:v>7500</c:v>
                </c:pt>
                <c:pt idx="1">
                  <c:v>7500</c:v>
                </c:pt>
                <c:pt idx="2">
                  <c:v>7500</c:v>
                </c:pt>
                <c:pt idx="3">
                  <c:v>7500</c:v>
                </c:pt>
                <c:pt idx="4">
                  <c:v>7500</c:v>
                </c:pt>
                <c:pt idx="5">
                  <c:v>7500</c:v>
                </c:pt>
                <c:pt idx="6">
                  <c:v>7500</c:v>
                </c:pt>
                <c:pt idx="7">
                  <c:v>7500</c:v>
                </c:pt>
                <c:pt idx="8">
                  <c:v>7500</c:v>
                </c:pt>
                <c:pt idx="9">
                  <c:v>7500</c:v>
                </c:pt>
                <c:pt idx="10">
                  <c:v>7500</c:v>
                </c:pt>
                <c:pt idx="11">
                  <c:v>7500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7-4B6C-9F98-C1F80FC684B4}"/>
            </c:ext>
          </c:extLst>
        </c:ser>
        <c:ser>
          <c:idx val="4"/>
          <c:order val="1"/>
          <c:tx>
            <c:strRef>
              <c:f>Traktor!$B$25</c:f>
              <c:strCache>
                <c:ptCount val="1"/>
                <c:pt idx="0">
                  <c:v>Abschreibung (var)</c:v>
                </c:pt>
              </c:strCache>
            </c:strRef>
          </c:tx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Traktor!$F$9:$U$9</c:f>
              <c:numCache>
                <c:formatCode>General_)</c:formatCode>
                <c:ptCount val="16"/>
                <c:pt idx="0">
                  <c:v>250</c:v>
                </c:pt>
                <c:pt idx="1">
                  <c:v>300</c:v>
                </c:pt>
                <c:pt idx="2">
                  <c:v>350</c:v>
                </c:pt>
                <c:pt idx="3">
                  <c:v>400</c:v>
                </c:pt>
                <c:pt idx="4">
                  <c:v>450</c:v>
                </c:pt>
                <c:pt idx="5">
                  <c:v>500</c:v>
                </c:pt>
                <c:pt idx="6">
                  <c:v>550</c:v>
                </c:pt>
                <c:pt idx="7">
                  <c:v>600</c:v>
                </c:pt>
                <c:pt idx="8">
                  <c:v>650</c:v>
                </c:pt>
                <c:pt idx="9">
                  <c:v>700</c:v>
                </c:pt>
                <c:pt idx="10">
                  <c:v>750</c:v>
                </c:pt>
                <c:pt idx="11">
                  <c:v>800</c:v>
                </c:pt>
                <c:pt idx="12">
                  <c:v>850</c:v>
                </c:pt>
                <c:pt idx="13">
                  <c:v>900</c:v>
                </c:pt>
                <c:pt idx="14">
                  <c:v>950</c:v>
                </c:pt>
                <c:pt idx="15">
                  <c:v>1000</c:v>
                </c:pt>
              </c:numCache>
            </c:numRef>
          </c:cat>
          <c:val>
            <c:numRef>
              <c:f>Traktor!$F$26:$U$26</c:f>
              <c:numCache>
                <c:formatCode>#,##0\ 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7650</c:v>
                </c:pt>
                <c:pt idx="13">
                  <c:v>8100</c:v>
                </c:pt>
                <c:pt idx="14">
                  <c:v>8550</c:v>
                </c:pt>
                <c:pt idx="15">
                  <c:v>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7-4B6C-9F98-C1F80FC684B4}"/>
            </c:ext>
          </c:extLst>
        </c:ser>
        <c:ser>
          <c:idx val="1"/>
          <c:order val="2"/>
          <c:tx>
            <c:strRef>
              <c:f>Traktor!$B$16</c:f>
              <c:strCache>
                <c:ptCount val="1"/>
                <c:pt idx="0">
                  <c:v>Zinsanspruch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Traktor!$F$9:$U$9</c:f>
              <c:numCache>
                <c:formatCode>General_)</c:formatCode>
                <c:ptCount val="16"/>
                <c:pt idx="0">
                  <c:v>250</c:v>
                </c:pt>
                <c:pt idx="1">
                  <c:v>300</c:v>
                </c:pt>
                <c:pt idx="2">
                  <c:v>350</c:v>
                </c:pt>
                <c:pt idx="3">
                  <c:v>400</c:v>
                </c:pt>
                <c:pt idx="4">
                  <c:v>450</c:v>
                </c:pt>
                <c:pt idx="5">
                  <c:v>500</c:v>
                </c:pt>
                <c:pt idx="6">
                  <c:v>550</c:v>
                </c:pt>
                <c:pt idx="7">
                  <c:v>600</c:v>
                </c:pt>
                <c:pt idx="8">
                  <c:v>650</c:v>
                </c:pt>
                <c:pt idx="9">
                  <c:v>700</c:v>
                </c:pt>
                <c:pt idx="10">
                  <c:v>750</c:v>
                </c:pt>
                <c:pt idx="11">
                  <c:v>800</c:v>
                </c:pt>
                <c:pt idx="12">
                  <c:v>850</c:v>
                </c:pt>
                <c:pt idx="13">
                  <c:v>900</c:v>
                </c:pt>
                <c:pt idx="14">
                  <c:v>950</c:v>
                </c:pt>
                <c:pt idx="15">
                  <c:v>1000</c:v>
                </c:pt>
              </c:numCache>
            </c:numRef>
          </c:cat>
          <c:val>
            <c:numRef>
              <c:f>Traktor!$F$16:$U$16</c:f>
              <c:numCache>
                <c:formatCode>#,##0\ </c:formatCode>
                <c:ptCount val="16"/>
                <c:pt idx="0">
                  <c:v>1650</c:v>
                </c:pt>
                <c:pt idx="1">
                  <c:v>1650</c:v>
                </c:pt>
                <c:pt idx="2">
                  <c:v>1650</c:v>
                </c:pt>
                <c:pt idx="3">
                  <c:v>1650</c:v>
                </c:pt>
                <c:pt idx="4">
                  <c:v>1650</c:v>
                </c:pt>
                <c:pt idx="5">
                  <c:v>1650</c:v>
                </c:pt>
                <c:pt idx="6">
                  <c:v>1650</c:v>
                </c:pt>
                <c:pt idx="7">
                  <c:v>1650</c:v>
                </c:pt>
                <c:pt idx="8">
                  <c:v>1650</c:v>
                </c:pt>
                <c:pt idx="9">
                  <c:v>1650</c:v>
                </c:pt>
                <c:pt idx="10">
                  <c:v>1650</c:v>
                </c:pt>
                <c:pt idx="11">
                  <c:v>1650</c:v>
                </c:pt>
                <c:pt idx="12">
                  <c:v>1650</c:v>
                </c:pt>
                <c:pt idx="13">
                  <c:v>1650</c:v>
                </c:pt>
                <c:pt idx="14">
                  <c:v>1650</c:v>
                </c:pt>
                <c:pt idx="15">
                  <c:v>1650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47-4B6C-9F98-C1F80FC684B4}"/>
            </c:ext>
          </c:extLst>
        </c:ser>
        <c:ser>
          <c:idx val="2"/>
          <c:order val="3"/>
          <c:tx>
            <c:strRef>
              <c:f>Traktor!$B$18</c:f>
              <c:strCache>
                <c:ptCount val="1"/>
                <c:pt idx="0">
                  <c:v>Versicherung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Traktor!$F$9:$U$9</c:f>
              <c:numCache>
                <c:formatCode>General_)</c:formatCode>
                <c:ptCount val="16"/>
                <c:pt idx="0">
                  <c:v>250</c:v>
                </c:pt>
                <c:pt idx="1">
                  <c:v>300</c:v>
                </c:pt>
                <c:pt idx="2">
                  <c:v>350</c:v>
                </c:pt>
                <c:pt idx="3">
                  <c:v>400</c:v>
                </c:pt>
                <c:pt idx="4">
                  <c:v>450</c:v>
                </c:pt>
                <c:pt idx="5">
                  <c:v>500</c:v>
                </c:pt>
                <c:pt idx="6">
                  <c:v>550</c:v>
                </c:pt>
                <c:pt idx="7">
                  <c:v>600</c:v>
                </c:pt>
                <c:pt idx="8">
                  <c:v>650</c:v>
                </c:pt>
                <c:pt idx="9">
                  <c:v>700</c:v>
                </c:pt>
                <c:pt idx="10">
                  <c:v>750</c:v>
                </c:pt>
                <c:pt idx="11">
                  <c:v>800</c:v>
                </c:pt>
                <c:pt idx="12">
                  <c:v>850</c:v>
                </c:pt>
                <c:pt idx="13">
                  <c:v>900</c:v>
                </c:pt>
                <c:pt idx="14">
                  <c:v>950</c:v>
                </c:pt>
                <c:pt idx="15">
                  <c:v>1000</c:v>
                </c:pt>
              </c:numCache>
            </c:numRef>
          </c:cat>
          <c:val>
            <c:numRef>
              <c:f>Traktor!$F$18:$U$18</c:f>
              <c:numCache>
                <c:formatCode>#,##0\ </c:formatCode>
                <c:ptCount val="16"/>
                <c:pt idx="0">
                  <c:v>650.00000000000011</c:v>
                </c:pt>
                <c:pt idx="1">
                  <c:v>650.00000000000011</c:v>
                </c:pt>
                <c:pt idx="2">
                  <c:v>650.00000000000011</c:v>
                </c:pt>
                <c:pt idx="3">
                  <c:v>650.00000000000011</c:v>
                </c:pt>
                <c:pt idx="4">
                  <c:v>650.00000000000011</c:v>
                </c:pt>
                <c:pt idx="5">
                  <c:v>650.00000000000011</c:v>
                </c:pt>
                <c:pt idx="6">
                  <c:v>650.00000000000011</c:v>
                </c:pt>
                <c:pt idx="7">
                  <c:v>650.00000000000011</c:v>
                </c:pt>
                <c:pt idx="8">
                  <c:v>650.00000000000011</c:v>
                </c:pt>
                <c:pt idx="9">
                  <c:v>650.00000000000011</c:v>
                </c:pt>
                <c:pt idx="10">
                  <c:v>650.00000000000011</c:v>
                </c:pt>
                <c:pt idx="11">
                  <c:v>650.00000000000011</c:v>
                </c:pt>
                <c:pt idx="12">
                  <c:v>650.00000000000011</c:v>
                </c:pt>
                <c:pt idx="13">
                  <c:v>650.00000000000011</c:v>
                </c:pt>
                <c:pt idx="14">
                  <c:v>650.00000000000011</c:v>
                </c:pt>
                <c:pt idx="15">
                  <c:v>650.00000000000011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47-4B6C-9F98-C1F80FC684B4}"/>
            </c:ext>
          </c:extLst>
        </c:ser>
        <c:ser>
          <c:idx val="3"/>
          <c:order val="4"/>
          <c:tx>
            <c:strRef>
              <c:f>Traktor!$B$20</c:f>
              <c:strCache>
                <c:ptCount val="1"/>
                <c:pt idx="0">
                  <c:v>Unterbringung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Traktor!$F$9:$U$9</c:f>
              <c:numCache>
                <c:formatCode>General_)</c:formatCode>
                <c:ptCount val="16"/>
                <c:pt idx="0">
                  <c:v>250</c:v>
                </c:pt>
                <c:pt idx="1">
                  <c:v>300</c:v>
                </c:pt>
                <c:pt idx="2">
                  <c:v>350</c:v>
                </c:pt>
                <c:pt idx="3">
                  <c:v>400</c:v>
                </c:pt>
                <c:pt idx="4">
                  <c:v>450</c:v>
                </c:pt>
                <c:pt idx="5">
                  <c:v>500</c:v>
                </c:pt>
                <c:pt idx="6">
                  <c:v>550</c:v>
                </c:pt>
                <c:pt idx="7">
                  <c:v>600</c:v>
                </c:pt>
                <c:pt idx="8">
                  <c:v>650</c:v>
                </c:pt>
                <c:pt idx="9">
                  <c:v>700</c:v>
                </c:pt>
                <c:pt idx="10">
                  <c:v>750</c:v>
                </c:pt>
                <c:pt idx="11">
                  <c:v>800</c:v>
                </c:pt>
                <c:pt idx="12">
                  <c:v>850</c:v>
                </c:pt>
                <c:pt idx="13">
                  <c:v>900</c:v>
                </c:pt>
                <c:pt idx="14">
                  <c:v>950</c:v>
                </c:pt>
                <c:pt idx="15">
                  <c:v>1000</c:v>
                </c:pt>
              </c:numCache>
            </c:numRef>
          </c:cat>
          <c:val>
            <c:numRef>
              <c:f>Traktor!$F$20:$U$20</c:f>
              <c:numCache>
                <c:formatCode>#,##0\ </c:formatCode>
                <c:ptCount val="16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  <c:pt idx="12">
                  <c:v>200</c:v>
                </c:pt>
                <c:pt idx="13">
                  <c:v>200</c:v>
                </c:pt>
                <c:pt idx="14">
                  <c:v>200</c:v>
                </c:pt>
                <c:pt idx="15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47-4B6C-9F98-C1F80FC684B4}"/>
            </c:ext>
          </c:extLst>
        </c:ser>
        <c:ser>
          <c:idx val="5"/>
          <c:order val="5"/>
          <c:tx>
            <c:strRef>
              <c:f>Traktor!$B$27</c:f>
              <c:strCache>
                <c:ptCount val="1"/>
                <c:pt idx="0">
                  <c:v>Reparaturkosten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Traktor!$F$9:$U$9</c:f>
              <c:numCache>
                <c:formatCode>General_)</c:formatCode>
                <c:ptCount val="16"/>
                <c:pt idx="0">
                  <c:v>250</c:v>
                </c:pt>
                <c:pt idx="1">
                  <c:v>300</c:v>
                </c:pt>
                <c:pt idx="2">
                  <c:v>350</c:v>
                </c:pt>
                <c:pt idx="3">
                  <c:v>400</c:v>
                </c:pt>
                <c:pt idx="4">
                  <c:v>450</c:v>
                </c:pt>
                <c:pt idx="5">
                  <c:v>500</c:v>
                </c:pt>
                <c:pt idx="6">
                  <c:v>550</c:v>
                </c:pt>
                <c:pt idx="7">
                  <c:v>600</c:v>
                </c:pt>
                <c:pt idx="8">
                  <c:v>650</c:v>
                </c:pt>
                <c:pt idx="9">
                  <c:v>700</c:v>
                </c:pt>
                <c:pt idx="10">
                  <c:v>750</c:v>
                </c:pt>
                <c:pt idx="11">
                  <c:v>800</c:v>
                </c:pt>
                <c:pt idx="12">
                  <c:v>850</c:v>
                </c:pt>
                <c:pt idx="13">
                  <c:v>900</c:v>
                </c:pt>
                <c:pt idx="14">
                  <c:v>950</c:v>
                </c:pt>
                <c:pt idx="15">
                  <c:v>1000</c:v>
                </c:pt>
              </c:numCache>
            </c:numRef>
          </c:cat>
          <c:val>
            <c:numRef>
              <c:f>Traktor!$F$28:$U$28</c:f>
              <c:numCache>
                <c:formatCode>#,##0\ </c:formatCode>
                <c:ptCount val="16"/>
                <c:pt idx="0">
                  <c:v>1068.0589871350739</c:v>
                </c:pt>
                <c:pt idx="1">
                  <c:v>1404</c:v>
                </c:pt>
                <c:pt idx="2">
                  <c:v>1769.2422106653457</c:v>
                </c:pt>
                <c:pt idx="3">
                  <c:v>2161.5994078459589</c:v>
                </c:pt>
                <c:pt idx="4">
                  <c:v>2579.3126991506861</c:v>
                </c:pt>
                <c:pt idx="5">
                  <c:v>3020.9270100417853</c:v>
                </c:pt>
                <c:pt idx="6">
                  <c:v>3485.2124755888267</c:v>
                </c:pt>
                <c:pt idx="7">
                  <c:v>3971.1116831436511</c:v>
                </c:pt>
                <c:pt idx="8">
                  <c:v>4477.7027592282184</c:v>
                </c:pt>
                <c:pt idx="9">
                  <c:v>5004.1726588917772</c:v>
                </c:pt>
                <c:pt idx="10">
                  <c:v>5549.7972935955049</c:v>
                </c:pt>
                <c:pt idx="11">
                  <c:v>6113.9263979868119</c:v>
                </c:pt>
                <c:pt idx="12">
                  <c:v>6630</c:v>
                </c:pt>
                <c:pt idx="13">
                  <c:v>7020</c:v>
                </c:pt>
                <c:pt idx="14">
                  <c:v>7410</c:v>
                </c:pt>
                <c:pt idx="15">
                  <c:v>7800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47-4B6C-9F98-C1F80FC684B4}"/>
            </c:ext>
          </c:extLst>
        </c:ser>
        <c:ser>
          <c:idx val="6"/>
          <c:order val="6"/>
          <c:tx>
            <c:strRef>
              <c:f>Traktor!$B$29</c:f>
              <c:strCache>
                <c:ptCount val="1"/>
                <c:pt idx="0">
                  <c:v>Betriebsstoffkosten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Traktor!$F$9:$U$9</c:f>
              <c:numCache>
                <c:formatCode>General_)</c:formatCode>
                <c:ptCount val="16"/>
                <c:pt idx="0">
                  <c:v>250</c:v>
                </c:pt>
                <c:pt idx="1">
                  <c:v>300</c:v>
                </c:pt>
                <c:pt idx="2">
                  <c:v>350</c:v>
                </c:pt>
                <c:pt idx="3">
                  <c:v>400</c:v>
                </c:pt>
                <c:pt idx="4">
                  <c:v>450</c:v>
                </c:pt>
                <c:pt idx="5">
                  <c:v>500</c:v>
                </c:pt>
                <c:pt idx="6">
                  <c:v>550</c:v>
                </c:pt>
                <c:pt idx="7">
                  <c:v>600</c:v>
                </c:pt>
                <c:pt idx="8">
                  <c:v>650</c:v>
                </c:pt>
                <c:pt idx="9">
                  <c:v>700</c:v>
                </c:pt>
                <c:pt idx="10">
                  <c:v>750</c:v>
                </c:pt>
                <c:pt idx="11">
                  <c:v>800</c:v>
                </c:pt>
                <c:pt idx="12">
                  <c:v>850</c:v>
                </c:pt>
                <c:pt idx="13">
                  <c:v>900</c:v>
                </c:pt>
                <c:pt idx="14">
                  <c:v>950</c:v>
                </c:pt>
                <c:pt idx="15">
                  <c:v>1000</c:v>
                </c:pt>
              </c:numCache>
            </c:numRef>
          </c:cat>
          <c:val>
            <c:numRef>
              <c:f>Traktor!$F$30:$U$30</c:f>
              <c:numCache>
                <c:formatCode>#,##0\ </c:formatCode>
                <c:ptCount val="16"/>
                <c:pt idx="0">
                  <c:v>2499.0000000000005</c:v>
                </c:pt>
                <c:pt idx="1">
                  <c:v>2998.8000000000006</c:v>
                </c:pt>
                <c:pt idx="2">
                  <c:v>3498.6000000000008</c:v>
                </c:pt>
                <c:pt idx="3">
                  <c:v>3998.400000000001</c:v>
                </c:pt>
                <c:pt idx="4">
                  <c:v>4498.2000000000007</c:v>
                </c:pt>
                <c:pt idx="5">
                  <c:v>4998.0000000000009</c:v>
                </c:pt>
                <c:pt idx="6">
                  <c:v>5497.8000000000011</c:v>
                </c:pt>
                <c:pt idx="7">
                  <c:v>5997.6000000000013</c:v>
                </c:pt>
                <c:pt idx="8">
                  <c:v>6497.4000000000015</c:v>
                </c:pt>
                <c:pt idx="9">
                  <c:v>6997.2000000000016</c:v>
                </c:pt>
                <c:pt idx="10">
                  <c:v>7497.0000000000018</c:v>
                </c:pt>
                <c:pt idx="11">
                  <c:v>7996.800000000002</c:v>
                </c:pt>
                <c:pt idx="12">
                  <c:v>8496.6000000000022</c:v>
                </c:pt>
                <c:pt idx="13">
                  <c:v>8996.4000000000015</c:v>
                </c:pt>
                <c:pt idx="14">
                  <c:v>9496.2000000000025</c:v>
                </c:pt>
                <c:pt idx="15">
                  <c:v>9996.0000000000018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47-4B6C-9F98-C1F80FC68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57412864"/>
        <c:axId val="357414784"/>
      </c:barChart>
      <c:catAx>
        <c:axId val="35741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Leistung je Jahr</a:t>
                </a:r>
              </a:p>
            </c:rich>
          </c:tx>
          <c:layout>
            <c:manualLayout>
              <c:xMode val="edge"/>
              <c:yMode val="edge"/>
              <c:x val="0.49546285437724541"/>
              <c:y val="0.930558119890186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7414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741478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Gesamtkosten je Jahr</a:t>
                </a:r>
              </a:p>
            </c:rich>
          </c:tx>
          <c:layout>
            <c:manualLayout>
              <c:xMode val="edge"/>
              <c:yMode val="edge"/>
              <c:x val="2.3593380614657211E-2"/>
              <c:y val="0.294445349503725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74128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014184397163122"/>
          <c:y val="5.5172413793103448E-2"/>
          <c:w val="0.20567375886524822"/>
          <c:h val="0.420689956858840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00573664784098"/>
          <c:y val="4.1666779695040408E-2"/>
          <c:w val="0.83971005469827009"/>
          <c:h val="0.80277995545777847"/>
        </c:manualLayout>
      </c:layout>
      <c:lineChart>
        <c:grouping val="standard"/>
        <c:varyColors val="0"/>
        <c:ser>
          <c:idx val="0"/>
          <c:order val="0"/>
          <c:tx>
            <c:strRef>
              <c:f>Traktor!$B$22</c:f>
              <c:strCache>
                <c:ptCount val="1"/>
                <c:pt idx="0">
                  <c:v>Feste Kosten insgesamt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Traktor!$F$9:$U$9</c:f>
              <c:numCache>
                <c:formatCode>General_)</c:formatCode>
                <c:ptCount val="16"/>
                <c:pt idx="0">
                  <c:v>250</c:v>
                </c:pt>
                <c:pt idx="1">
                  <c:v>300</c:v>
                </c:pt>
                <c:pt idx="2">
                  <c:v>350</c:v>
                </c:pt>
                <c:pt idx="3">
                  <c:v>400</c:v>
                </c:pt>
                <c:pt idx="4">
                  <c:v>450</c:v>
                </c:pt>
                <c:pt idx="5">
                  <c:v>500</c:v>
                </c:pt>
                <c:pt idx="6">
                  <c:v>550</c:v>
                </c:pt>
                <c:pt idx="7">
                  <c:v>600</c:v>
                </c:pt>
                <c:pt idx="8">
                  <c:v>650</c:v>
                </c:pt>
                <c:pt idx="9">
                  <c:v>700</c:v>
                </c:pt>
                <c:pt idx="10">
                  <c:v>750</c:v>
                </c:pt>
                <c:pt idx="11">
                  <c:v>800</c:v>
                </c:pt>
                <c:pt idx="12">
                  <c:v>850</c:v>
                </c:pt>
                <c:pt idx="13">
                  <c:v>900</c:v>
                </c:pt>
                <c:pt idx="14">
                  <c:v>950</c:v>
                </c:pt>
                <c:pt idx="15">
                  <c:v>1000</c:v>
                </c:pt>
              </c:numCache>
            </c:numRef>
          </c:cat>
          <c:val>
            <c:numRef>
              <c:f>Traktor!$F$22:$U$22</c:f>
              <c:numCache>
                <c:formatCode>#,##0\ </c:formatCode>
                <c:ptCount val="16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2500</c:v>
                </c:pt>
                <c:pt idx="13">
                  <c:v>2500</c:v>
                </c:pt>
                <c:pt idx="14">
                  <c:v>2500</c:v>
                </c:pt>
                <c:pt idx="15">
                  <c:v>2500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5D-478A-A361-66909C533247}"/>
            </c:ext>
          </c:extLst>
        </c:ser>
        <c:ser>
          <c:idx val="1"/>
          <c:order val="1"/>
          <c:tx>
            <c:strRef>
              <c:f>Traktor!$B$31</c:f>
              <c:strCache>
                <c:ptCount val="1"/>
                <c:pt idx="0">
                  <c:v>Variable Kosten insgesamt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Traktor!$F$9:$U$9</c:f>
              <c:numCache>
                <c:formatCode>General_)</c:formatCode>
                <c:ptCount val="16"/>
                <c:pt idx="0">
                  <c:v>250</c:v>
                </c:pt>
                <c:pt idx="1">
                  <c:v>300</c:v>
                </c:pt>
                <c:pt idx="2">
                  <c:v>350</c:v>
                </c:pt>
                <c:pt idx="3">
                  <c:v>400</c:v>
                </c:pt>
                <c:pt idx="4">
                  <c:v>450</c:v>
                </c:pt>
                <c:pt idx="5">
                  <c:v>500</c:v>
                </c:pt>
                <c:pt idx="6">
                  <c:v>550</c:v>
                </c:pt>
                <c:pt idx="7">
                  <c:v>600</c:v>
                </c:pt>
                <c:pt idx="8">
                  <c:v>650</c:v>
                </c:pt>
                <c:pt idx="9">
                  <c:v>700</c:v>
                </c:pt>
                <c:pt idx="10">
                  <c:v>750</c:v>
                </c:pt>
                <c:pt idx="11">
                  <c:v>800</c:v>
                </c:pt>
                <c:pt idx="12">
                  <c:v>850</c:v>
                </c:pt>
                <c:pt idx="13">
                  <c:v>900</c:v>
                </c:pt>
                <c:pt idx="14">
                  <c:v>950</c:v>
                </c:pt>
                <c:pt idx="15">
                  <c:v>1000</c:v>
                </c:pt>
              </c:numCache>
            </c:numRef>
          </c:cat>
          <c:val>
            <c:numRef>
              <c:f>Traktor!$F$32:$U$32</c:f>
              <c:numCache>
                <c:formatCode>#,##0\ </c:formatCode>
                <c:ptCount val="16"/>
                <c:pt idx="0">
                  <c:v>3567.0589871350744</c:v>
                </c:pt>
                <c:pt idx="1">
                  <c:v>4402.8000000000011</c:v>
                </c:pt>
                <c:pt idx="2">
                  <c:v>5267.842210665347</c:v>
                </c:pt>
                <c:pt idx="3">
                  <c:v>6159.9994078459604</c:v>
                </c:pt>
                <c:pt idx="4">
                  <c:v>7077.5126991506868</c:v>
                </c:pt>
                <c:pt idx="5">
                  <c:v>8018.9270100417862</c:v>
                </c:pt>
                <c:pt idx="6">
                  <c:v>8983.0124755888282</c:v>
                </c:pt>
                <c:pt idx="7">
                  <c:v>9968.7116831436524</c:v>
                </c:pt>
                <c:pt idx="8">
                  <c:v>10975.102759228219</c:v>
                </c:pt>
                <c:pt idx="9">
                  <c:v>12001.372658891778</c:v>
                </c:pt>
                <c:pt idx="10">
                  <c:v>13046.797293595508</c:v>
                </c:pt>
                <c:pt idx="11">
                  <c:v>14110.726397986815</c:v>
                </c:pt>
                <c:pt idx="12">
                  <c:v>22776.600000000002</c:v>
                </c:pt>
                <c:pt idx="13">
                  <c:v>24116.400000000001</c:v>
                </c:pt>
                <c:pt idx="14">
                  <c:v>25456.200000000004</c:v>
                </c:pt>
                <c:pt idx="15">
                  <c:v>26796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5D-478A-A361-66909C533247}"/>
            </c:ext>
          </c:extLst>
        </c:ser>
        <c:ser>
          <c:idx val="2"/>
          <c:order val="2"/>
          <c:tx>
            <c:strRef>
              <c:f>Traktor!$B$34</c:f>
              <c:strCache>
                <c:ptCount val="1"/>
                <c:pt idx="0">
                  <c:v>  Gesamtkosten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Traktor!$F$9:$U$9</c:f>
              <c:numCache>
                <c:formatCode>General_)</c:formatCode>
                <c:ptCount val="16"/>
                <c:pt idx="0">
                  <c:v>250</c:v>
                </c:pt>
                <c:pt idx="1">
                  <c:v>300</c:v>
                </c:pt>
                <c:pt idx="2">
                  <c:v>350</c:v>
                </c:pt>
                <c:pt idx="3">
                  <c:v>400</c:v>
                </c:pt>
                <c:pt idx="4">
                  <c:v>450</c:v>
                </c:pt>
                <c:pt idx="5">
                  <c:v>500</c:v>
                </c:pt>
                <c:pt idx="6">
                  <c:v>550</c:v>
                </c:pt>
                <c:pt idx="7">
                  <c:v>600</c:v>
                </c:pt>
                <c:pt idx="8">
                  <c:v>650</c:v>
                </c:pt>
                <c:pt idx="9">
                  <c:v>700</c:v>
                </c:pt>
                <c:pt idx="10">
                  <c:v>750</c:v>
                </c:pt>
                <c:pt idx="11">
                  <c:v>800</c:v>
                </c:pt>
                <c:pt idx="12">
                  <c:v>850</c:v>
                </c:pt>
                <c:pt idx="13">
                  <c:v>900</c:v>
                </c:pt>
                <c:pt idx="14">
                  <c:v>950</c:v>
                </c:pt>
                <c:pt idx="15">
                  <c:v>1000</c:v>
                </c:pt>
              </c:numCache>
            </c:numRef>
          </c:cat>
          <c:val>
            <c:numRef>
              <c:f>Traktor!$F$34:$U$34</c:f>
              <c:numCache>
                <c:formatCode>#,##0\ </c:formatCode>
                <c:ptCount val="16"/>
                <c:pt idx="0">
                  <c:v>13567.058987135075</c:v>
                </c:pt>
                <c:pt idx="1">
                  <c:v>14402.800000000001</c:v>
                </c:pt>
                <c:pt idx="2">
                  <c:v>15267.842210665347</c:v>
                </c:pt>
                <c:pt idx="3">
                  <c:v>16159.99940784596</c:v>
                </c:pt>
                <c:pt idx="4">
                  <c:v>17077.512699150688</c:v>
                </c:pt>
                <c:pt idx="5">
                  <c:v>18018.927010041785</c:v>
                </c:pt>
                <c:pt idx="6">
                  <c:v>18983.012475588828</c:v>
                </c:pt>
                <c:pt idx="7">
                  <c:v>19968.711683143651</c:v>
                </c:pt>
                <c:pt idx="8">
                  <c:v>20975.102759228219</c:v>
                </c:pt>
                <c:pt idx="9">
                  <c:v>22001.372658891778</c:v>
                </c:pt>
                <c:pt idx="10">
                  <c:v>23046.797293595508</c:v>
                </c:pt>
                <c:pt idx="11">
                  <c:v>24110.726397986815</c:v>
                </c:pt>
                <c:pt idx="12">
                  <c:v>25276.600000000002</c:v>
                </c:pt>
                <c:pt idx="13">
                  <c:v>26616.400000000001</c:v>
                </c:pt>
                <c:pt idx="14">
                  <c:v>27956.200000000004</c:v>
                </c:pt>
                <c:pt idx="15">
                  <c:v>29296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5D-478A-A361-66909C533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036544"/>
        <c:axId val="355051392"/>
      </c:lineChart>
      <c:catAx>
        <c:axId val="355036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Leistung je Jahr</a:t>
                </a:r>
              </a:p>
            </c:rich>
          </c:tx>
          <c:layout>
            <c:manualLayout>
              <c:xMode val="edge"/>
              <c:yMode val="edge"/>
              <c:x val="0.49909015112427185"/>
              <c:y val="0.930558119890186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5051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50513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Gesamtkosten je Jahr</a:t>
                </a:r>
              </a:p>
            </c:rich>
          </c:tx>
          <c:layout>
            <c:manualLayout>
              <c:xMode val="edge"/>
              <c:yMode val="edge"/>
              <c:x val="9.1074619946011019E-3"/>
              <c:y val="0.300000905059281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50365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225108613560056"/>
          <c:y val="8.5057471264367815E-2"/>
          <c:w val="0.40313465090367978"/>
          <c:h val="0.193103448275862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074843242762479E-2"/>
          <c:y val="4.1666779695040408E-2"/>
          <c:w val="0.90164094810334861"/>
          <c:h val="0.80277995545777847"/>
        </c:manualLayout>
      </c:layout>
      <c:lineChart>
        <c:grouping val="standard"/>
        <c:varyColors val="0"/>
        <c:ser>
          <c:idx val="0"/>
          <c:order val="0"/>
          <c:tx>
            <c:strRef>
              <c:f>Traktor!$B$22</c:f>
              <c:strCache>
                <c:ptCount val="1"/>
                <c:pt idx="0">
                  <c:v>Feste Kosten insgesamt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Traktor!$F$9:$U$9</c:f>
              <c:numCache>
                <c:formatCode>General_)</c:formatCode>
                <c:ptCount val="16"/>
                <c:pt idx="0">
                  <c:v>250</c:v>
                </c:pt>
                <c:pt idx="1">
                  <c:v>300</c:v>
                </c:pt>
                <c:pt idx="2">
                  <c:v>350</c:v>
                </c:pt>
                <c:pt idx="3">
                  <c:v>400</c:v>
                </c:pt>
                <c:pt idx="4">
                  <c:v>450</c:v>
                </c:pt>
                <c:pt idx="5">
                  <c:v>500</c:v>
                </c:pt>
                <c:pt idx="6">
                  <c:v>550</c:v>
                </c:pt>
                <c:pt idx="7">
                  <c:v>600</c:v>
                </c:pt>
                <c:pt idx="8">
                  <c:v>650</c:v>
                </c:pt>
                <c:pt idx="9">
                  <c:v>700</c:v>
                </c:pt>
                <c:pt idx="10">
                  <c:v>750</c:v>
                </c:pt>
                <c:pt idx="11">
                  <c:v>800</c:v>
                </c:pt>
                <c:pt idx="12">
                  <c:v>850</c:v>
                </c:pt>
                <c:pt idx="13">
                  <c:v>900</c:v>
                </c:pt>
                <c:pt idx="14">
                  <c:v>950</c:v>
                </c:pt>
                <c:pt idx="15">
                  <c:v>1000</c:v>
                </c:pt>
              </c:numCache>
            </c:numRef>
          </c:cat>
          <c:val>
            <c:numRef>
              <c:f>Traktor!$F$23:$U$23</c:f>
              <c:numCache>
                <c:formatCode>#,##0.00\ </c:formatCode>
                <c:ptCount val="16"/>
                <c:pt idx="0">
                  <c:v>40</c:v>
                </c:pt>
                <c:pt idx="1">
                  <c:v>33.333333333333329</c:v>
                </c:pt>
                <c:pt idx="2">
                  <c:v>28.571428571428573</c:v>
                </c:pt>
                <c:pt idx="3">
                  <c:v>25</c:v>
                </c:pt>
                <c:pt idx="4">
                  <c:v>22.222222222222221</c:v>
                </c:pt>
                <c:pt idx="5">
                  <c:v>20</c:v>
                </c:pt>
                <c:pt idx="6">
                  <c:v>18.181818181818183</c:v>
                </c:pt>
                <c:pt idx="7">
                  <c:v>16.666666666666664</c:v>
                </c:pt>
                <c:pt idx="8">
                  <c:v>15.384615384615385</c:v>
                </c:pt>
                <c:pt idx="9">
                  <c:v>14.285714285714286</c:v>
                </c:pt>
                <c:pt idx="10">
                  <c:v>13.333333333333334</c:v>
                </c:pt>
                <c:pt idx="11">
                  <c:v>12.5</c:v>
                </c:pt>
                <c:pt idx="12">
                  <c:v>2.9411764705882355</c:v>
                </c:pt>
                <c:pt idx="13">
                  <c:v>2.7777777777777777</c:v>
                </c:pt>
                <c:pt idx="14">
                  <c:v>2.6315789473684212</c:v>
                </c:pt>
                <c:pt idx="15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8-4C75-A26E-BD841AA8D4B8}"/>
            </c:ext>
          </c:extLst>
        </c:ser>
        <c:ser>
          <c:idx val="1"/>
          <c:order val="1"/>
          <c:tx>
            <c:strRef>
              <c:f>Traktor!$B$31</c:f>
              <c:strCache>
                <c:ptCount val="1"/>
                <c:pt idx="0">
                  <c:v>Variable Kosten insgesamt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Traktor!$F$9:$U$9</c:f>
              <c:numCache>
                <c:formatCode>General_)</c:formatCode>
                <c:ptCount val="16"/>
                <c:pt idx="0">
                  <c:v>250</c:v>
                </c:pt>
                <c:pt idx="1">
                  <c:v>300</c:v>
                </c:pt>
                <c:pt idx="2">
                  <c:v>350</c:v>
                </c:pt>
                <c:pt idx="3">
                  <c:v>400</c:v>
                </c:pt>
                <c:pt idx="4">
                  <c:v>450</c:v>
                </c:pt>
                <c:pt idx="5">
                  <c:v>500</c:v>
                </c:pt>
                <c:pt idx="6">
                  <c:v>550</c:v>
                </c:pt>
                <c:pt idx="7">
                  <c:v>600</c:v>
                </c:pt>
                <c:pt idx="8">
                  <c:v>650</c:v>
                </c:pt>
                <c:pt idx="9">
                  <c:v>700</c:v>
                </c:pt>
                <c:pt idx="10">
                  <c:v>750</c:v>
                </c:pt>
                <c:pt idx="11">
                  <c:v>800</c:v>
                </c:pt>
                <c:pt idx="12">
                  <c:v>850</c:v>
                </c:pt>
                <c:pt idx="13">
                  <c:v>900</c:v>
                </c:pt>
                <c:pt idx="14">
                  <c:v>950</c:v>
                </c:pt>
                <c:pt idx="15">
                  <c:v>1000</c:v>
                </c:pt>
              </c:numCache>
            </c:numRef>
          </c:cat>
          <c:val>
            <c:numRef>
              <c:f>Traktor!$F$31:$U$31</c:f>
              <c:numCache>
                <c:formatCode>#,##0.00\ </c:formatCode>
                <c:ptCount val="16"/>
                <c:pt idx="0">
                  <c:v>14.268235948540298</c:v>
                </c:pt>
                <c:pt idx="1">
                  <c:v>14.676000000000002</c:v>
                </c:pt>
                <c:pt idx="2">
                  <c:v>15.050977744758132</c:v>
                </c:pt>
                <c:pt idx="3">
                  <c:v>15.399998519614901</c:v>
                </c:pt>
                <c:pt idx="4">
                  <c:v>15.727805998112638</c:v>
                </c:pt>
                <c:pt idx="5">
                  <c:v>16.037854020083572</c:v>
                </c:pt>
                <c:pt idx="6">
                  <c:v>16.332749955616052</c:v>
                </c:pt>
                <c:pt idx="7">
                  <c:v>16.614519471906085</c:v>
                </c:pt>
                <c:pt idx="8">
                  <c:v>16.884773475735724</c:v>
                </c:pt>
                <c:pt idx="9">
                  <c:v>17.144818084131114</c:v>
                </c:pt>
                <c:pt idx="10">
                  <c:v>17.395729724794009</c:v>
                </c:pt>
                <c:pt idx="11">
                  <c:v>17.638407997483519</c:v>
                </c:pt>
                <c:pt idx="12">
                  <c:v>26.796000000000003</c:v>
                </c:pt>
                <c:pt idx="13">
                  <c:v>26.796000000000003</c:v>
                </c:pt>
                <c:pt idx="14">
                  <c:v>26.796000000000003</c:v>
                </c:pt>
                <c:pt idx="15">
                  <c:v>26.796000000000003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8-4C75-A26E-BD841AA8D4B8}"/>
            </c:ext>
          </c:extLst>
        </c:ser>
        <c:ser>
          <c:idx val="2"/>
          <c:order val="2"/>
          <c:tx>
            <c:strRef>
              <c:f>Traktor!$B$35</c:f>
              <c:strCache>
                <c:ptCount val="1"/>
                <c:pt idx="0">
                  <c:v>  Gesamtkosten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Traktor!$F$9:$U$9</c:f>
              <c:numCache>
                <c:formatCode>General_)</c:formatCode>
                <c:ptCount val="16"/>
                <c:pt idx="0">
                  <c:v>250</c:v>
                </c:pt>
                <c:pt idx="1">
                  <c:v>300</c:v>
                </c:pt>
                <c:pt idx="2">
                  <c:v>350</c:v>
                </c:pt>
                <c:pt idx="3">
                  <c:v>400</c:v>
                </c:pt>
                <c:pt idx="4">
                  <c:v>450</c:v>
                </c:pt>
                <c:pt idx="5">
                  <c:v>500</c:v>
                </c:pt>
                <c:pt idx="6">
                  <c:v>550</c:v>
                </c:pt>
                <c:pt idx="7">
                  <c:v>600</c:v>
                </c:pt>
                <c:pt idx="8">
                  <c:v>650</c:v>
                </c:pt>
                <c:pt idx="9">
                  <c:v>700</c:v>
                </c:pt>
                <c:pt idx="10">
                  <c:v>750</c:v>
                </c:pt>
                <c:pt idx="11">
                  <c:v>800</c:v>
                </c:pt>
                <c:pt idx="12">
                  <c:v>850</c:v>
                </c:pt>
                <c:pt idx="13">
                  <c:v>900</c:v>
                </c:pt>
                <c:pt idx="14">
                  <c:v>950</c:v>
                </c:pt>
                <c:pt idx="15">
                  <c:v>1000</c:v>
                </c:pt>
              </c:numCache>
            </c:numRef>
          </c:cat>
          <c:val>
            <c:numRef>
              <c:f>Traktor!$F$35:$U$35</c:f>
              <c:numCache>
                <c:formatCode>#,##0.00\ </c:formatCode>
                <c:ptCount val="16"/>
                <c:pt idx="0">
                  <c:v>54.268235948540294</c:v>
                </c:pt>
                <c:pt idx="1">
                  <c:v>48.009333333333331</c:v>
                </c:pt>
                <c:pt idx="2">
                  <c:v>43.622406316186705</c:v>
                </c:pt>
                <c:pt idx="3">
                  <c:v>40.399998519614897</c:v>
                </c:pt>
                <c:pt idx="4">
                  <c:v>37.950028220334858</c:v>
                </c:pt>
                <c:pt idx="5">
                  <c:v>36.037854020083572</c:v>
                </c:pt>
                <c:pt idx="6">
                  <c:v>34.514568137434239</c:v>
                </c:pt>
                <c:pt idx="7">
                  <c:v>33.28118613857275</c:v>
                </c:pt>
                <c:pt idx="8">
                  <c:v>32.269388860351107</c:v>
                </c:pt>
                <c:pt idx="9">
                  <c:v>31.430532369845402</c:v>
                </c:pt>
                <c:pt idx="10">
                  <c:v>30.729063058127345</c:v>
                </c:pt>
                <c:pt idx="11">
                  <c:v>30.138407997483519</c:v>
                </c:pt>
                <c:pt idx="12">
                  <c:v>29.737176470588238</c:v>
                </c:pt>
                <c:pt idx="13">
                  <c:v>29.573777777777781</c:v>
                </c:pt>
                <c:pt idx="14">
                  <c:v>29.427578947368424</c:v>
                </c:pt>
                <c:pt idx="15">
                  <c:v>29.296000000000003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28-4C75-A26E-BD841AA8D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064832"/>
        <c:axId val="357770752"/>
      </c:lineChart>
      <c:catAx>
        <c:axId val="355064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Leistung je Jahr</a:t>
                </a:r>
              </a:p>
            </c:rich>
          </c:tx>
          <c:layout>
            <c:manualLayout>
              <c:xMode val="edge"/>
              <c:yMode val="edge"/>
              <c:x val="0.46812458989501315"/>
              <c:y val="0.930558119890186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7770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777075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Kosten je Leistungseinheit</a:t>
                </a:r>
              </a:p>
            </c:rich>
          </c:tx>
          <c:layout>
            <c:manualLayout>
              <c:xMode val="edge"/>
              <c:yMode val="edge"/>
              <c:x val="9.1074997017418276E-3"/>
              <c:y val="0.294445349503725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50648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9232954545454541"/>
          <c:y val="0.10344827586206896"/>
          <c:w val="0.34517045454545459"/>
          <c:h val="0.167816091954022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41197822141561"/>
          <c:y val="4.1666779695040408E-2"/>
          <c:w val="0.86932849364791287"/>
          <c:h val="0.85000230577882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MDresch!$B$14</c:f>
              <c:strCache>
                <c:ptCount val="1"/>
                <c:pt idx="0">
                  <c:v>Abschreibung (fest)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MDresch!$F$9:$U$9</c:f>
              <c:numCache>
                <c:formatCode>General_)</c:formatCode>
                <c:ptCount val="16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350</c:v>
                </c:pt>
                <c:pt idx="7">
                  <c:v>400</c:v>
                </c:pt>
                <c:pt idx="8">
                  <c:v>450</c:v>
                </c:pt>
                <c:pt idx="9">
                  <c:v>500</c:v>
                </c:pt>
                <c:pt idx="10">
                  <c:v>550</c:v>
                </c:pt>
                <c:pt idx="11">
                  <c:v>600</c:v>
                </c:pt>
                <c:pt idx="12">
                  <c:v>650</c:v>
                </c:pt>
                <c:pt idx="13">
                  <c:v>700</c:v>
                </c:pt>
                <c:pt idx="14">
                  <c:v>750</c:v>
                </c:pt>
                <c:pt idx="15">
                  <c:v>800</c:v>
                </c:pt>
              </c:numCache>
            </c:numRef>
          </c:cat>
          <c:val>
            <c:numRef>
              <c:f>MDresch!$F$15:$U$15</c:f>
              <c:numCache>
                <c:formatCode>#,##0.00\ </c:formatCode>
                <c:ptCount val="16"/>
                <c:pt idx="0">
                  <c:v>540</c:v>
                </c:pt>
                <c:pt idx="1">
                  <c:v>270</c:v>
                </c:pt>
                <c:pt idx="2">
                  <c:v>180</c:v>
                </c:pt>
                <c:pt idx="3">
                  <c:v>135</c:v>
                </c:pt>
                <c:pt idx="4">
                  <c:v>108</c:v>
                </c:pt>
                <c:pt idx="5">
                  <c:v>90</c:v>
                </c:pt>
                <c:pt idx="6">
                  <c:v>77.142857142857139</c:v>
                </c:pt>
                <c:pt idx="7">
                  <c:v>67.5</c:v>
                </c:pt>
                <c:pt idx="8">
                  <c:v>60</c:v>
                </c:pt>
                <c:pt idx="9">
                  <c:v>54</c:v>
                </c:pt>
                <c:pt idx="10">
                  <c:v>49.090909090909093</c:v>
                </c:pt>
                <c:pt idx="11">
                  <c:v>45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3D-43E8-BF2D-6E4D1C914117}"/>
            </c:ext>
          </c:extLst>
        </c:ser>
        <c:ser>
          <c:idx val="4"/>
          <c:order val="1"/>
          <c:tx>
            <c:strRef>
              <c:f>MDresch!$B$25</c:f>
              <c:strCache>
                <c:ptCount val="1"/>
                <c:pt idx="0">
                  <c:v>Abschreibung (var)</c:v>
                </c:pt>
              </c:strCache>
            </c:strRef>
          </c:tx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MDresch!$F$9:$U$9</c:f>
              <c:numCache>
                <c:formatCode>General_)</c:formatCode>
                <c:ptCount val="16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350</c:v>
                </c:pt>
                <c:pt idx="7">
                  <c:v>400</c:v>
                </c:pt>
                <c:pt idx="8">
                  <c:v>450</c:v>
                </c:pt>
                <c:pt idx="9">
                  <c:v>500</c:v>
                </c:pt>
                <c:pt idx="10">
                  <c:v>550</c:v>
                </c:pt>
                <c:pt idx="11">
                  <c:v>600</c:v>
                </c:pt>
                <c:pt idx="12">
                  <c:v>650</c:v>
                </c:pt>
                <c:pt idx="13">
                  <c:v>700</c:v>
                </c:pt>
                <c:pt idx="14">
                  <c:v>750</c:v>
                </c:pt>
                <c:pt idx="15">
                  <c:v>800</c:v>
                </c:pt>
              </c:numCache>
            </c:numRef>
          </c:cat>
          <c:val>
            <c:numRef>
              <c:f>MDresch!$F$25:$U$25</c:f>
              <c:numCache>
                <c:formatCode>#,##0.00\ 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45</c:v>
                </c:pt>
                <c:pt idx="13">
                  <c:v>45</c:v>
                </c:pt>
                <c:pt idx="14">
                  <c:v>45</c:v>
                </c:pt>
                <c:pt idx="15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3D-43E8-BF2D-6E4D1C914117}"/>
            </c:ext>
          </c:extLst>
        </c:ser>
        <c:ser>
          <c:idx val="1"/>
          <c:order val="2"/>
          <c:tx>
            <c:strRef>
              <c:f>MDresch!$B$16</c:f>
              <c:strCache>
                <c:ptCount val="1"/>
                <c:pt idx="0">
                  <c:v>Zinsanspruch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MDresch!$F$9:$U$9</c:f>
              <c:numCache>
                <c:formatCode>General_)</c:formatCode>
                <c:ptCount val="16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350</c:v>
                </c:pt>
                <c:pt idx="7">
                  <c:v>400</c:v>
                </c:pt>
                <c:pt idx="8">
                  <c:v>450</c:v>
                </c:pt>
                <c:pt idx="9">
                  <c:v>500</c:v>
                </c:pt>
                <c:pt idx="10">
                  <c:v>550</c:v>
                </c:pt>
                <c:pt idx="11">
                  <c:v>600</c:v>
                </c:pt>
                <c:pt idx="12">
                  <c:v>650</c:v>
                </c:pt>
                <c:pt idx="13">
                  <c:v>700</c:v>
                </c:pt>
                <c:pt idx="14">
                  <c:v>750</c:v>
                </c:pt>
                <c:pt idx="15">
                  <c:v>800</c:v>
                </c:pt>
              </c:numCache>
            </c:numRef>
          </c:cat>
          <c:val>
            <c:numRef>
              <c:f>MDresch!$F$17:$U$17</c:f>
              <c:numCache>
                <c:formatCode>#,##0.00\ </c:formatCode>
                <c:ptCount val="16"/>
                <c:pt idx="0">
                  <c:v>99</c:v>
                </c:pt>
                <c:pt idx="1">
                  <c:v>49.5</c:v>
                </c:pt>
                <c:pt idx="2">
                  <c:v>33</c:v>
                </c:pt>
                <c:pt idx="3">
                  <c:v>24.75</c:v>
                </c:pt>
                <c:pt idx="4">
                  <c:v>19.8</c:v>
                </c:pt>
                <c:pt idx="5">
                  <c:v>16.5</c:v>
                </c:pt>
                <c:pt idx="6">
                  <c:v>14.142857142857142</c:v>
                </c:pt>
                <c:pt idx="7">
                  <c:v>12.375</c:v>
                </c:pt>
                <c:pt idx="8">
                  <c:v>11</c:v>
                </c:pt>
                <c:pt idx="9">
                  <c:v>9.9</c:v>
                </c:pt>
                <c:pt idx="10">
                  <c:v>9</c:v>
                </c:pt>
                <c:pt idx="11">
                  <c:v>8.25</c:v>
                </c:pt>
                <c:pt idx="12">
                  <c:v>7.615384615384615</c:v>
                </c:pt>
                <c:pt idx="13">
                  <c:v>7.0714285714285712</c:v>
                </c:pt>
                <c:pt idx="14">
                  <c:v>6.6</c:v>
                </c:pt>
                <c:pt idx="15">
                  <c:v>6.1875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3D-43E8-BF2D-6E4D1C914117}"/>
            </c:ext>
          </c:extLst>
        </c:ser>
        <c:ser>
          <c:idx val="2"/>
          <c:order val="3"/>
          <c:tx>
            <c:strRef>
              <c:f>MDresch!$B$18</c:f>
              <c:strCache>
                <c:ptCount val="1"/>
                <c:pt idx="0">
                  <c:v>Versicherung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MDresch!$F$9:$U$9</c:f>
              <c:numCache>
                <c:formatCode>General_)</c:formatCode>
                <c:ptCount val="16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350</c:v>
                </c:pt>
                <c:pt idx="7">
                  <c:v>400</c:v>
                </c:pt>
                <c:pt idx="8">
                  <c:v>450</c:v>
                </c:pt>
                <c:pt idx="9">
                  <c:v>500</c:v>
                </c:pt>
                <c:pt idx="10">
                  <c:v>550</c:v>
                </c:pt>
                <c:pt idx="11">
                  <c:v>600</c:v>
                </c:pt>
                <c:pt idx="12">
                  <c:v>650</c:v>
                </c:pt>
                <c:pt idx="13">
                  <c:v>700</c:v>
                </c:pt>
                <c:pt idx="14">
                  <c:v>750</c:v>
                </c:pt>
                <c:pt idx="15">
                  <c:v>800</c:v>
                </c:pt>
              </c:numCache>
            </c:numRef>
          </c:cat>
          <c:val>
            <c:numRef>
              <c:f>MDresch!$F$19:$U$19</c:f>
              <c:numCache>
                <c:formatCode>#,##0.00\ </c:formatCode>
                <c:ptCount val="16"/>
                <c:pt idx="0">
                  <c:v>24</c:v>
                </c:pt>
                <c:pt idx="1">
                  <c:v>12</c:v>
                </c:pt>
                <c:pt idx="2">
                  <c:v>8</c:v>
                </c:pt>
                <c:pt idx="3">
                  <c:v>6</c:v>
                </c:pt>
                <c:pt idx="4">
                  <c:v>4.8</c:v>
                </c:pt>
                <c:pt idx="5">
                  <c:v>4</c:v>
                </c:pt>
                <c:pt idx="6">
                  <c:v>3.4285714285714284</c:v>
                </c:pt>
                <c:pt idx="7">
                  <c:v>3</c:v>
                </c:pt>
                <c:pt idx="8">
                  <c:v>2.6666666666666665</c:v>
                </c:pt>
                <c:pt idx="9">
                  <c:v>2.4</c:v>
                </c:pt>
                <c:pt idx="10">
                  <c:v>2.1818181818181817</c:v>
                </c:pt>
                <c:pt idx="11">
                  <c:v>2</c:v>
                </c:pt>
                <c:pt idx="12">
                  <c:v>1.8461538461538463</c:v>
                </c:pt>
                <c:pt idx="13">
                  <c:v>1.7142857142857142</c:v>
                </c:pt>
                <c:pt idx="14">
                  <c:v>1.6</c:v>
                </c:pt>
                <c:pt idx="15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3D-43E8-BF2D-6E4D1C914117}"/>
            </c:ext>
          </c:extLst>
        </c:ser>
        <c:ser>
          <c:idx val="3"/>
          <c:order val="4"/>
          <c:tx>
            <c:strRef>
              <c:f>MDresch!$B$20</c:f>
              <c:strCache>
                <c:ptCount val="1"/>
                <c:pt idx="0">
                  <c:v>Unterbringung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MDresch!$F$9:$U$9</c:f>
              <c:numCache>
                <c:formatCode>General_)</c:formatCode>
                <c:ptCount val="16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350</c:v>
                </c:pt>
                <c:pt idx="7">
                  <c:v>400</c:v>
                </c:pt>
                <c:pt idx="8">
                  <c:v>450</c:v>
                </c:pt>
                <c:pt idx="9">
                  <c:v>500</c:v>
                </c:pt>
                <c:pt idx="10">
                  <c:v>550</c:v>
                </c:pt>
                <c:pt idx="11">
                  <c:v>600</c:v>
                </c:pt>
                <c:pt idx="12">
                  <c:v>650</c:v>
                </c:pt>
                <c:pt idx="13">
                  <c:v>700</c:v>
                </c:pt>
                <c:pt idx="14">
                  <c:v>750</c:v>
                </c:pt>
                <c:pt idx="15">
                  <c:v>800</c:v>
                </c:pt>
              </c:numCache>
            </c:numRef>
          </c:cat>
          <c:val>
            <c:numRef>
              <c:f>MDresch!$F$21:$U$21</c:f>
              <c:numCache>
                <c:formatCode>#,##0.00\ </c:formatCode>
                <c:ptCount val="16"/>
                <c:pt idx="0">
                  <c:v>12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2.4</c:v>
                </c:pt>
                <c:pt idx="5">
                  <c:v>2</c:v>
                </c:pt>
                <c:pt idx="6">
                  <c:v>1.7142857142857142</c:v>
                </c:pt>
                <c:pt idx="7">
                  <c:v>1.5</c:v>
                </c:pt>
                <c:pt idx="8">
                  <c:v>1.3333333333333333</c:v>
                </c:pt>
                <c:pt idx="9">
                  <c:v>1.2</c:v>
                </c:pt>
                <c:pt idx="10">
                  <c:v>1.0909090909090908</c:v>
                </c:pt>
                <c:pt idx="11">
                  <c:v>1</c:v>
                </c:pt>
                <c:pt idx="12">
                  <c:v>0.92307692307692313</c:v>
                </c:pt>
                <c:pt idx="13">
                  <c:v>0.8571428571428571</c:v>
                </c:pt>
                <c:pt idx="14">
                  <c:v>0.8</c:v>
                </c:pt>
                <c:pt idx="15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3D-43E8-BF2D-6E4D1C914117}"/>
            </c:ext>
          </c:extLst>
        </c:ser>
        <c:ser>
          <c:idx val="5"/>
          <c:order val="5"/>
          <c:tx>
            <c:strRef>
              <c:f>MDresch!$B$27</c:f>
              <c:strCache>
                <c:ptCount val="1"/>
                <c:pt idx="0">
                  <c:v>Reparaturkosten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MDresch!$F$9:$U$9</c:f>
              <c:numCache>
                <c:formatCode>General_)</c:formatCode>
                <c:ptCount val="16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350</c:v>
                </c:pt>
                <c:pt idx="7">
                  <c:v>400</c:v>
                </c:pt>
                <c:pt idx="8">
                  <c:v>450</c:v>
                </c:pt>
                <c:pt idx="9">
                  <c:v>500</c:v>
                </c:pt>
                <c:pt idx="10">
                  <c:v>550</c:v>
                </c:pt>
                <c:pt idx="11">
                  <c:v>600</c:v>
                </c:pt>
                <c:pt idx="12">
                  <c:v>650</c:v>
                </c:pt>
                <c:pt idx="13">
                  <c:v>700</c:v>
                </c:pt>
                <c:pt idx="14">
                  <c:v>750</c:v>
                </c:pt>
                <c:pt idx="15">
                  <c:v>800</c:v>
                </c:pt>
              </c:numCache>
            </c:numRef>
          </c:cat>
          <c:val>
            <c:numRef>
              <c:f>MDresch!$F$27:$U$27</c:f>
              <c:numCache>
                <c:formatCode>#,##0.00\ </c:formatCode>
                <c:ptCount val="16"/>
                <c:pt idx="0">
                  <c:v>3.4641016151377544</c:v>
                </c:pt>
                <c:pt idx="1">
                  <c:v>4.8989794855663558</c:v>
                </c:pt>
                <c:pt idx="2">
                  <c:v>6</c:v>
                </c:pt>
                <c:pt idx="3">
                  <c:v>6.9282032302755088</c:v>
                </c:pt>
                <c:pt idx="4">
                  <c:v>7.745966692414834</c:v>
                </c:pt>
                <c:pt idx="5">
                  <c:v>8.4852813742385713</c:v>
                </c:pt>
                <c:pt idx="6">
                  <c:v>9.1651513899116814</c:v>
                </c:pt>
                <c:pt idx="7">
                  <c:v>9.7979589711327115</c:v>
                </c:pt>
                <c:pt idx="8">
                  <c:v>10.392304845413264</c:v>
                </c:pt>
                <c:pt idx="9">
                  <c:v>10.954451150103322</c:v>
                </c:pt>
                <c:pt idx="10">
                  <c:v>11.489125293076057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3D-43E8-BF2D-6E4D1C914117}"/>
            </c:ext>
          </c:extLst>
        </c:ser>
        <c:ser>
          <c:idx val="6"/>
          <c:order val="6"/>
          <c:tx>
            <c:strRef>
              <c:f>MDresch!$B$29</c:f>
              <c:strCache>
                <c:ptCount val="1"/>
                <c:pt idx="0">
                  <c:v>Betriebsstoffkosten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MDresch!$F$9:$U$9</c:f>
              <c:numCache>
                <c:formatCode>General_)</c:formatCode>
                <c:ptCount val="16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350</c:v>
                </c:pt>
                <c:pt idx="7">
                  <c:v>400</c:v>
                </c:pt>
                <c:pt idx="8">
                  <c:v>450</c:v>
                </c:pt>
                <c:pt idx="9">
                  <c:v>500</c:v>
                </c:pt>
                <c:pt idx="10">
                  <c:v>550</c:v>
                </c:pt>
                <c:pt idx="11">
                  <c:v>600</c:v>
                </c:pt>
                <c:pt idx="12">
                  <c:v>650</c:v>
                </c:pt>
                <c:pt idx="13">
                  <c:v>700</c:v>
                </c:pt>
                <c:pt idx="14">
                  <c:v>750</c:v>
                </c:pt>
                <c:pt idx="15">
                  <c:v>800</c:v>
                </c:pt>
              </c:numCache>
            </c:numRef>
          </c:cat>
          <c:val>
            <c:numRef>
              <c:f>MDresch!$F$29:$U$29</c:f>
              <c:numCache>
                <c:formatCode>#,##0.00\ </c:formatCode>
                <c:ptCount val="16"/>
                <c:pt idx="0">
                  <c:v>16.600000000000001</c:v>
                </c:pt>
                <c:pt idx="1">
                  <c:v>16.600000000000001</c:v>
                </c:pt>
                <c:pt idx="2">
                  <c:v>16.600000000000001</c:v>
                </c:pt>
                <c:pt idx="3">
                  <c:v>16.600000000000001</c:v>
                </c:pt>
                <c:pt idx="4">
                  <c:v>16.600000000000001</c:v>
                </c:pt>
                <c:pt idx="5">
                  <c:v>16.600000000000001</c:v>
                </c:pt>
                <c:pt idx="6">
                  <c:v>16.600000000000001</c:v>
                </c:pt>
                <c:pt idx="7">
                  <c:v>16.600000000000001</c:v>
                </c:pt>
                <c:pt idx="8">
                  <c:v>16.600000000000001</c:v>
                </c:pt>
                <c:pt idx="9">
                  <c:v>16.600000000000001</c:v>
                </c:pt>
                <c:pt idx="10">
                  <c:v>16.600000000000001</c:v>
                </c:pt>
                <c:pt idx="11">
                  <c:v>16.600000000000001</c:v>
                </c:pt>
                <c:pt idx="12">
                  <c:v>16.600000000000001</c:v>
                </c:pt>
                <c:pt idx="13">
                  <c:v>16.600000000000001</c:v>
                </c:pt>
                <c:pt idx="14">
                  <c:v>16.600000000000001</c:v>
                </c:pt>
                <c:pt idx="15">
                  <c:v>16.600000000000001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3D-43E8-BF2D-6E4D1C914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57858688"/>
        <c:axId val="357864960"/>
      </c:barChart>
      <c:catAx>
        <c:axId val="357858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Leistung je Jahr</a:t>
                </a:r>
              </a:p>
            </c:rich>
          </c:tx>
          <c:layout>
            <c:manualLayout>
              <c:xMode val="edge"/>
              <c:yMode val="edge"/>
              <c:x val="0.48457354657863233"/>
              <c:y val="0.930558119890186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7864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786496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Kosten je Leistungseinheit</a:t>
                </a:r>
              </a:p>
            </c:rich>
          </c:tx>
          <c:layout>
            <c:manualLayout>
              <c:xMode val="edge"/>
              <c:yMode val="edge"/>
              <c:x val="1.8148899942747949E-2"/>
              <c:y val="0.286111865327178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78586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920735651669591"/>
          <c:y val="5.9770114942528735E-2"/>
          <c:w val="0.20538262214390335"/>
          <c:h val="0.420689956858840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19056261343014"/>
          <c:y val="4.1666779695040408E-2"/>
          <c:w val="0.84754990925589835"/>
          <c:h val="0.85000230577882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MDresch!$B$14</c:f>
              <c:strCache>
                <c:ptCount val="1"/>
                <c:pt idx="0">
                  <c:v>Abschreibung (fest)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MDresch!$F$9:$U$9</c:f>
              <c:numCache>
                <c:formatCode>General_)</c:formatCode>
                <c:ptCount val="16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350</c:v>
                </c:pt>
                <c:pt idx="7">
                  <c:v>400</c:v>
                </c:pt>
                <c:pt idx="8">
                  <c:v>450</c:v>
                </c:pt>
                <c:pt idx="9">
                  <c:v>500</c:v>
                </c:pt>
                <c:pt idx="10">
                  <c:v>550</c:v>
                </c:pt>
                <c:pt idx="11">
                  <c:v>600</c:v>
                </c:pt>
                <c:pt idx="12">
                  <c:v>650</c:v>
                </c:pt>
                <c:pt idx="13">
                  <c:v>700</c:v>
                </c:pt>
                <c:pt idx="14">
                  <c:v>750</c:v>
                </c:pt>
                <c:pt idx="15">
                  <c:v>800</c:v>
                </c:pt>
              </c:numCache>
            </c:numRef>
          </c:cat>
          <c:val>
            <c:numRef>
              <c:f>MDresch!$F$14:$U$14</c:f>
              <c:numCache>
                <c:formatCode>#,##0\ </c:formatCode>
                <c:ptCount val="16"/>
                <c:pt idx="0">
                  <c:v>27000</c:v>
                </c:pt>
                <c:pt idx="1">
                  <c:v>27000</c:v>
                </c:pt>
                <c:pt idx="2">
                  <c:v>27000</c:v>
                </c:pt>
                <c:pt idx="3">
                  <c:v>27000</c:v>
                </c:pt>
                <c:pt idx="4">
                  <c:v>27000</c:v>
                </c:pt>
                <c:pt idx="5">
                  <c:v>27000</c:v>
                </c:pt>
                <c:pt idx="6">
                  <c:v>27000</c:v>
                </c:pt>
                <c:pt idx="7">
                  <c:v>27000</c:v>
                </c:pt>
                <c:pt idx="8">
                  <c:v>27000</c:v>
                </c:pt>
                <c:pt idx="9">
                  <c:v>27000</c:v>
                </c:pt>
                <c:pt idx="10">
                  <c:v>27000</c:v>
                </c:pt>
                <c:pt idx="11">
                  <c:v>27000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C8-4CB9-9A65-9BA0B71198D8}"/>
            </c:ext>
          </c:extLst>
        </c:ser>
        <c:ser>
          <c:idx val="4"/>
          <c:order val="1"/>
          <c:tx>
            <c:strRef>
              <c:f>MDresch!$B$25</c:f>
              <c:strCache>
                <c:ptCount val="1"/>
                <c:pt idx="0">
                  <c:v>Abschreibung (var)</c:v>
                </c:pt>
              </c:strCache>
            </c:strRef>
          </c:tx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MDresch!$F$9:$U$9</c:f>
              <c:numCache>
                <c:formatCode>General_)</c:formatCode>
                <c:ptCount val="16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350</c:v>
                </c:pt>
                <c:pt idx="7">
                  <c:v>400</c:v>
                </c:pt>
                <c:pt idx="8">
                  <c:v>450</c:v>
                </c:pt>
                <c:pt idx="9">
                  <c:v>500</c:v>
                </c:pt>
                <c:pt idx="10">
                  <c:v>550</c:v>
                </c:pt>
                <c:pt idx="11">
                  <c:v>600</c:v>
                </c:pt>
                <c:pt idx="12">
                  <c:v>650</c:v>
                </c:pt>
                <c:pt idx="13">
                  <c:v>700</c:v>
                </c:pt>
                <c:pt idx="14">
                  <c:v>750</c:v>
                </c:pt>
                <c:pt idx="15">
                  <c:v>800</c:v>
                </c:pt>
              </c:numCache>
            </c:numRef>
          </c:cat>
          <c:val>
            <c:numRef>
              <c:f>MDresch!$F$26:$U$26</c:f>
              <c:numCache>
                <c:formatCode>#,##0\ 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29250</c:v>
                </c:pt>
                <c:pt idx="13">
                  <c:v>31500</c:v>
                </c:pt>
                <c:pt idx="14">
                  <c:v>33750</c:v>
                </c:pt>
                <c:pt idx="15">
                  <c:v>36000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C8-4CB9-9A65-9BA0B71198D8}"/>
            </c:ext>
          </c:extLst>
        </c:ser>
        <c:ser>
          <c:idx val="1"/>
          <c:order val="2"/>
          <c:tx>
            <c:strRef>
              <c:f>MDresch!$B$16</c:f>
              <c:strCache>
                <c:ptCount val="1"/>
                <c:pt idx="0">
                  <c:v>Zinsanspruch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MDresch!$F$9:$U$9</c:f>
              <c:numCache>
                <c:formatCode>General_)</c:formatCode>
                <c:ptCount val="16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350</c:v>
                </c:pt>
                <c:pt idx="7">
                  <c:v>400</c:v>
                </c:pt>
                <c:pt idx="8">
                  <c:v>450</c:v>
                </c:pt>
                <c:pt idx="9">
                  <c:v>500</c:v>
                </c:pt>
                <c:pt idx="10">
                  <c:v>550</c:v>
                </c:pt>
                <c:pt idx="11">
                  <c:v>600</c:v>
                </c:pt>
                <c:pt idx="12">
                  <c:v>650</c:v>
                </c:pt>
                <c:pt idx="13">
                  <c:v>700</c:v>
                </c:pt>
                <c:pt idx="14">
                  <c:v>750</c:v>
                </c:pt>
                <c:pt idx="15">
                  <c:v>800</c:v>
                </c:pt>
              </c:numCache>
            </c:numRef>
          </c:cat>
          <c:val>
            <c:numRef>
              <c:f>MDresch!$F$16:$U$16</c:f>
              <c:numCache>
                <c:formatCode>#,##0\ </c:formatCode>
                <c:ptCount val="16"/>
                <c:pt idx="0">
                  <c:v>4950</c:v>
                </c:pt>
                <c:pt idx="1">
                  <c:v>4950</c:v>
                </c:pt>
                <c:pt idx="2">
                  <c:v>4950</c:v>
                </c:pt>
                <c:pt idx="3">
                  <c:v>4950</c:v>
                </c:pt>
                <c:pt idx="4">
                  <c:v>4950</c:v>
                </c:pt>
                <c:pt idx="5">
                  <c:v>4950</c:v>
                </c:pt>
                <c:pt idx="6">
                  <c:v>4950</c:v>
                </c:pt>
                <c:pt idx="7">
                  <c:v>4950</c:v>
                </c:pt>
                <c:pt idx="8">
                  <c:v>4950</c:v>
                </c:pt>
                <c:pt idx="9">
                  <c:v>4950</c:v>
                </c:pt>
                <c:pt idx="10">
                  <c:v>4950</c:v>
                </c:pt>
                <c:pt idx="11">
                  <c:v>4950</c:v>
                </c:pt>
                <c:pt idx="12">
                  <c:v>4950</c:v>
                </c:pt>
                <c:pt idx="13">
                  <c:v>4950</c:v>
                </c:pt>
                <c:pt idx="14">
                  <c:v>4950</c:v>
                </c:pt>
                <c:pt idx="15">
                  <c:v>4950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C8-4CB9-9A65-9BA0B71198D8}"/>
            </c:ext>
          </c:extLst>
        </c:ser>
        <c:ser>
          <c:idx val="2"/>
          <c:order val="3"/>
          <c:tx>
            <c:strRef>
              <c:f>MDresch!$B$18</c:f>
              <c:strCache>
                <c:ptCount val="1"/>
                <c:pt idx="0">
                  <c:v>Versicherung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MDresch!$F$9:$U$9</c:f>
              <c:numCache>
                <c:formatCode>General_)</c:formatCode>
                <c:ptCount val="16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350</c:v>
                </c:pt>
                <c:pt idx="7">
                  <c:v>400</c:v>
                </c:pt>
                <c:pt idx="8">
                  <c:v>450</c:v>
                </c:pt>
                <c:pt idx="9">
                  <c:v>500</c:v>
                </c:pt>
                <c:pt idx="10">
                  <c:v>550</c:v>
                </c:pt>
                <c:pt idx="11">
                  <c:v>600</c:v>
                </c:pt>
                <c:pt idx="12">
                  <c:v>650</c:v>
                </c:pt>
                <c:pt idx="13">
                  <c:v>700</c:v>
                </c:pt>
                <c:pt idx="14">
                  <c:v>750</c:v>
                </c:pt>
                <c:pt idx="15">
                  <c:v>800</c:v>
                </c:pt>
              </c:numCache>
            </c:numRef>
          </c:cat>
          <c:val>
            <c:numRef>
              <c:f>MDresch!$F$18:$U$18</c:f>
              <c:numCache>
                <c:formatCode>#,##0\ </c:formatCode>
                <c:ptCount val="16"/>
                <c:pt idx="0">
                  <c:v>1200</c:v>
                </c:pt>
                <c:pt idx="1">
                  <c:v>1200</c:v>
                </c:pt>
                <c:pt idx="2">
                  <c:v>1200</c:v>
                </c:pt>
                <c:pt idx="3">
                  <c:v>1200</c:v>
                </c:pt>
                <c:pt idx="4">
                  <c:v>1200</c:v>
                </c:pt>
                <c:pt idx="5">
                  <c:v>1200</c:v>
                </c:pt>
                <c:pt idx="6">
                  <c:v>1200</c:v>
                </c:pt>
                <c:pt idx="7">
                  <c:v>1200</c:v>
                </c:pt>
                <c:pt idx="8">
                  <c:v>1200</c:v>
                </c:pt>
                <c:pt idx="9">
                  <c:v>1200</c:v>
                </c:pt>
                <c:pt idx="10">
                  <c:v>1200</c:v>
                </c:pt>
                <c:pt idx="11">
                  <c:v>1200</c:v>
                </c:pt>
                <c:pt idx="12">
                  <c:v>1200</c:v>
                </c:pt>
                <c:pt idx="13">
                  <c:v>1200</c:v>
                </c:pt>
                <c:pt idx="14">
                  <c:v>1200</c:v>
                </c:pt>
                <c:pt idx="15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C8-4CB9-9A65-9BA0B71198D8}"/>
            </c:ext>
          </c:extLst>
        </c:ser>
        <c:ser>
          <c:idx val="3"/>
          <c:order val="4"/>
          <c:tx>
            <c:strRef>
              <c:f>MDresch!$B$20</c:f>
              <c:strCache>
                <c:ptCount val="1"/>
                <c:pt idx="0">
                  <c:v>Unterbringung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MDresch!$F$9:$U$9</c:f>
              <c:numCache>
                <c:formatCode>General_)</c:formatCode>
                <c:ptCount val="16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350</c:v>
                </c:pt>
                <c:pt idx="7">
                  <c:v>400</c:v>
                </c:pt>
                <c:pt idx="8">
                  <c:v>450</c:v>
                </c:pt>
                <c:pt idx="9">
                  <c:v>500</c:v>
                </c:pt>
                <c:pt idx="10">
                  <c:v>550</c:v>
                </c:pt>
                <c:pt idx="11">
                  <c:v>600</c:v>
                </c:pt>
                <c:pt idx="12">
                  <c:v>650</c:v>
                </c:pt>
                <c:pt idx="13">
                  <c:v>700</c:v>
                </c:pt>
                <c:pt idx="14">
                  <c:v>750</c:v>
                </c:pt>
                <c:pt idx="15">
                  <c:v>800</c:v>
                </c:pt>
              </c:numCache>
            </c:numRef>
          </c:cat>
          <c:val>
            <c:numRef>
              <c:f>MDresch!$F$20:$U$20</c:f>
              <c:numCache>
                <c:formatCode>#,##0\ </c:formatCode>
                <c:ptCount val="16"/>
                <c:pt idx="0">
                  <c:v>600</c:v>
                </c:pt>
                <c:pt idx="1">
                  <c:v>600</c:v>
                </c:pt>
                <c:pt idx="2">
                  <c:v>600</c:v>
                </c:pt>
                <c:pt idx="3">
                  <c:v>600</c:v>
                </c:pt>
                <c:pt idx="4">
                  <c:v>600</c:v>
                </c:pt>
                <c:pt idx="5">
                  <c:v>600</c:v>
                </c:pt>
                <c:pt idx="6">
                  <c:v>600</c:v>
                </c:pt>
                <c:pt idx="7">
                  <c:v>600</c:v>
                </c:pt>
                <c:pt idx="8">
                  <c:v>600</c:v>
                </c:pt>
                <c:pt idx="9">
                  <c:v>600</c:v>
                </c:pt>
                <c:pt idx="10">
                  <c:v>600</c:v>
                </c:pt>
                <c:pt idx="11">
                  <c:v>600</c:v>
                </c:pt>
                <c:pt idx="12">
                  <c:v>600</c:v>
                </c:pt>
                <c:pt idx="13">
                  <c:v>600</c:v>
                </c:pt>
                <c:pt idx="14">
                  <c:v>600</c:v>
                </c:pt>
                <c:pt idx="15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C8-4CB9-9A65-9BA0B71198D8}"/>
            </c:ext>
          </c:extLst>
        </c:ser>
        <c:ser>
          <c:idx val="5"/>
          <c:order val="5"/>
          <c:tx>
            <c:strRef>
              <c:f>MDresch!$B$27</c:f>
              <c:strCache>
                <c:ptCount val="1"/>
                <c:pt idx="0">
                  <c:v>Reparaturkosten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MDresch!$F$9:$U$9</c:f>
              <c:numCache>
                <c:formatCode>General_)</c:formatCode>
                <c:ptCount val="16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350</c:v>
                </c:pt>
                <c:pt idx="7">
                  <c:v>400</c:v>
                </c:pt>
                <c:pt idx="8">
                  <c:v>450</c:v>
                </c:pt>
                <c:pt idx="9">
                  <c:v>500</c:v>
                </c:pt>
                <c:pt idx="10">
                  <c:v>550</c:v>
                </c:pt>
                <c:pt idx="11">
                  <c:v>600</c:v>
                </c:pt>
                <c:pt idx="12">
                  <c:v>650</c:v>
                </c:pt>
                <c:pt idx="13">
                  <c:v>700</c:v>
                </c:pt>
                <c:pt idx="14">
                  <c:v>750</c:v>
                </c:pt>
                <c:pt idx="15">
                  <c:v>800</c:v>
                </c:pt>
              </c:numCache>
            </c:numRef>
          </c:cat>
          <c:val>
            <c:numRef>
              <c:f>MDresch!$F$28:$U$28</c:f>
              <c:numCache>
                <c:formatCode>#,##0\ </c:formatCode>
                <c:ptCount val="16"/>
                <c:pt idx="0">
                  <c:v>173.20508075688772</c:v>
                </c:pt>
                <c:pt idx="1">
                  <c:v>489.89794855663558</c:v>
                </c:pt>
                <c:pt idx="2">
                  <c:v>900</c:v>
                </c:pt>
                <c:pt idx="3">
                  <c:v>1385.6406460551018</c:v>
                </c:pt>
                <c:pt idx="4">
                  <c:v>1936.4916731037085</c:v>
                </c:pt>
                <c:pt idx="5">
                  <c:v>2545.5844122715712</c:v>
                </c:pt>
                <c:pt idx="6">
                  <c:v>3207.8029864690884</c:v>
                </c:pt>
                <c:pt idx="7">
                  <c:v>3919.1835884530847</c:v>
                </c:pt>
                <c:pt idx="8">
                  <c:v>4676.5371804359693</c:v>
                </c:pt>
                <c:pt idx="9">
                  <c:v>5477.2255750516615</c:v>
                </c:pt>
                <c:pt idx="10">
                  <c:v>6319.0189111918316</c:v>
                </c:pt>
                <c:pt idx="11">
                  <c:v>7200</c:v>
                </c:pt>
                <c:pt idx="12">
                  <c:v>7800</c:v>
                </c:pt>
                <c:pt idx="13">
                  <c:v>8400</c:v>
                </c:pt>
                <c:pt idx="14">
                  <c:v>9000</c:v>
                </c:pt>
                <c:pt idx="15">
                  <c:v>9600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C8-4CB9-9A65-9BA0B71198D8}"/>
            </c:ext>
          </c:extLst>
        </c:ser>
        <c:ser>
          <c:idx val="6"/>
          <c:order val="6"/>
          <c:tx>
            <c:strRef>
              <c:f>MDresch!$B$29</c:f>
              <c:strCache>
                <c:ptCount val="1"/>
                <c:pt idx="0">
                  <c:v>Betriebsstoffkosten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MDresch!$F$9:$U$9</c:f>
              <c:numCache>
                <c:formatCode>General_)</c:formatCode>
                <c:ptCount val="16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350</c:v>
                </c:pt>
                <c:pt idx="7">
                  <c:v>400</c:v>
                </c:pt>
                <c:pt idx="8">
                  <c:v>450</c:v>
                </c:pt>
                <c:pt idx="9">
                  <c:v>500</c:v>
                </c:pt>
                <c:pt idx="10">
                  <c:v>550</c:v>
                </c:pt>
                <c:pt idx="11">
                  <c:v>600</c:v>
                </c:pt>
                <c:pt idx="12">
                  <c:v>650</c:v>
                </c:pt>
                <c:pt idx="13">
                  <c:v>700</c:v>
                </c:pt>
                <c:pt idx="14">
                  <c:v>750</c:v>
                </c:pt>
                <c:pt idx="15">
                  <c:v>800</c:v>
                </c:pt>
              </c:numCache>
            </c:numRef>
          </c:cat>
          <c:val>
            <c:numRef>
              <c:f>MDresch!$F$30:$U$30</c:f>
              <c:numCache>
                <c:formatCode>#,##0\ </c:formatCode>
                <c:ptCount val="16"/>
                <c:pt idx="0">
                  <c:v>830.00000000000011</c:v>
                </c:pt>
                <c:pt idx="1">
                  <c:v>1660.0000000000002</c:v>
                </c:pt>
                <c:pt idx="2">
                  <c:v>2490</c:v>
                </c:pt>
                <c:pt idx="3">
                  <c:v>3320.0000000000005</c:v>
                </c:pt>
                <c:pt idx="4">
                  <c:v>4150</c:v>
                </c:pt>
                <c:pt idx="5">
                  <c:v>4980</c:v>
                </c:pt>
                <c:pt idx="6">
                  <c:v>5810.0000000000009</c:v>
                </c:pt>
                <c:pt idx="7">
                  <c:v>6640.0000000000009</c:v>
                </c:pt>
                <c:pt idx="8">
                  <c:v>7470.0000000000009</c:v>
                </c:pt>
                <c:pt idx="9">
                  <c:v>8300</c:v>
                </c:pt>
                <c:pt idx="10">
                  <c:v>9130</c:v>
                </c:pt>
                <c:pt idx="11">
                  <c:v>9960</c:v>
                </c:pt>
                <c:pt idx="12">
                  <c:v>10790.000000000002</c:v>
                </c:pt>
                <c:pt idx="13">
                  <c:v>11620.000000000002</c:v>
                </c:pt>
                <c:pt idx="14">
                  <c:v>12450.000000000002</c:v>
                </c:pt>
                <c:pt idx="15">
                  <c:v>13280.000000000002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C8-4CB9-9A65-9BA0B7119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57644544"/>
        <c:axId val="357671296"/>
      </c:barChart>
      <c:catAx>
        <c:axId val="357644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Leistung je Jahr</a:t>
                </a:r>
              </a:p>
            </c:rich>
          </c:tx>
          <c:layout>
            <c:manualLayout>
              <c:xMode val="edge"/>
              <c:yMode val="edge"/>
              <c:x val="0.49546285437724541"/>
              <c:y val="0.930558119890186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7671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76712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Gesamtkosten je Jahr</a:t>
                </a:r>
              </a:p>
            </c:rich>
          </c:tx>
          <c:layout>
            <c:manualLayout>
              <c:xMode val="edge"/>
              <c:yMode val="edge"/>
              <c:x val="2.3593380614657211E-2"/>
              <c:y val="0.3166675717259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76445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56028368794325"/>
          <c:y val="2.7586206896551724E-2"/>
          <c:w val="0.20567375886524825"/>
          <c:h val="0.400000301686427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93471783697247"/>
          <c:y val="4.1666779695040408E-2"/>
          <c:w val="0.82878107350913865"/>
          <c:h val="0.83889116452681345"/>
        </c:manualLayout>
      </c:layout>
      <c:lineChart>
        <c:grouping val="standard"/>
        <c:varyColors val="0"/>
        <c:ser>
          <c:idx val="0"/>
          <c:order val="0"/>
          <c:tx>
            <c:strRef>
              <c:f>MDresch!$B$22</c:f>
              <c:strCache>
                <c:ptCount val="1"/>
                <c:pt idx="0">
                  <c:v>Feste Kosten insgesamt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MDresch!$F$9:$U$9</c:f>
              <c:numCache>
                <c:formatCode>General_)</c:formatCode>
                <c:ptCount val="16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350</c:v>
                </c:pt>
                <c:pt idx="7">
                  <c:v>400</c:v>
                </c:pt>
                <c:pt idx="8">
                  <c:v>450</c:v>
                </c:pt>
                <c:pt idx="9">
                  <c:v>500</c:v>
                </c:pt>
                <c:pt idx="10">
                  <c:v>550</c:v>
                </c:pt>
                <c:pt idx="11">
                  <c:v>600</c:v>
                </c:pt>
                <c:pt idx="12">
                  <c:v>650</c:v>
                </c:pt>
                <c:pt idx="13">
                  <c:v>700</c:v>
                </c:pt>
                <c:pt idx="14">
                  <c:v>750</c:v>
                </c:pt>
                <c:pt idx="15">
                  <c:v>800</c:v>
                </c:pt>
              </c:numCache>
            </c:numRef>
          </c:cat>
          <c:val>
            <c:numRef>
              <c:f>MDresch!$F$22:$U$22</c:f>
              <c:numCache>
                <c:formatCode>#,##0\ </c:formatCode>
                <c:ptCount val="16"/>
                <c:pt idx="0">
                  <c:v>33750</c:v>
                </c:pt>
                <c:pt idx="1">
                  <c:v>33750</c:v>
                </c:pt>
                <c:pt idx="2">
                  <c:v>33750</c:v>
                </c:pt>
                <c:pt idx="3">
                  <c:v>33750</c:v>
                </c:pt>
                <c:pt idx="4">
                  <c:v>33750</c:v>
                </c:pt>
                <c:pt idx="5">
                  <c:v>33750</c:v>
                </c:pt>
                <c:pt idx="6">
                  <c:v>33750</c:v>
                </c:pt>
                <c:pt idx="7">
                  <c:v>33750</c:v>
                </c:pt>
                <c:pt idx="8">
                  <c:v>33750</c:v>
                </c:pt>
                <c:pt idx="9">
                  <c:v>33750</c:v>
                </c:pt>
                <c:pt idx="10">
                  <c:v>33750</c:v>
                </c:pt>
                <c:pt idx="11">
                  <c:v>33750</c:v>
                </c:pt>
                <c:pt idx="12">
                  <c:v>6750</c:v>
                </c:pt>
                <c:pt idx="13">
                  <c:v>6750</c:v>
                </c:pt>
                <c:pt idx="14">
                  <c:v>6750</c:v>
                </c:pt>
                <c:pt idx="15">
                  <c:v>6750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6-4B1B-8363-E6E48CB8FB96}"/>
            </c:ext>
          </c:extLst>
        </c:ser>
        <c:ser>
          <c:idx val="1"/>
          <c:order val="1"/>
          <c:tx>
            <c:strRef>
              <c:f>MDresch!$B$31</c:f>
              <c:strCache>
                <c:ptCount val="1"/>
                <c:pt idx="0">
                  <c:v>Variable Kosten insgesamt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MDresch!$F$9:$U$9</c:f>
              <c:numCache>
                <c:formatCode>General_)</c:formatCode>
                <c:ptCount val="16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350</c:v>
                </c:pt>
                <c:pt idx="7">
                  <c:v>400</c:v>
                </c:pt>
                <c:pt idx="8">
                  <c:v>450</c:v>
                </c:pt>
                <c:pt idx="9">
                  <c:v>500</c:v>
                </c:pt>
                <c:pt idx="10">
                  <c:v>550</c:v>
                </c:pt>
                <c:pt idx="11">
                  <c:v>600</c:v>
                </c:pt>
                <c:pt idx="12">
                  <c:v>650</c:v>
                </c:pt>
                <c:pt idx="13">
                  <c:v>700</c:v>
                </c:pt>
                <c:pt idx="14">
                  <c:v>750</c:v>
                </c:pt>
                <c:pt idx="15">
                  <c:v>800</c:v>
                </c:pt>
              </c:numCache>
            </c:numRef>
          </c:cat>
          <c:val>
            <c:numRef>
              <c:f>MDresch!$F$32:$U$32</c:f>
              <c:numCache>
                <c:formatCode>#,##0\ </c:formatCode>
                <c:ptCount val="16"/>
                <c:pt idx="0">
                  <c:v>1003.2050807568878</c:v>
                </c:pt>
                <c:pt idx="1">
                  <c:v>2149.897948556636</c:v>
                </c:pt>
                <c:pt idx="2">
                  <c:v>3390</c:v>
                </c:pt>
                <c:pt idx="3">
                  <c:v>4705.6406460551025</c:v>
                </c:pt>
                <c:pt idx="4">
                  <c:v>6086.4916731037083</c:v>
                </c:pt>
                <c:pt idx="5">
                  <c:v>7525.5844122715716</c:v>
                </c:pt>
                <c:pt idx="6">
                  <c:v>9017.8029864690889</c:v>
                </c:pt>
                <c:pt idx="7">
                  <c:v>10559.183588453085</c:v>
                </c:pt>
                <c:pt idx="8">
                  <c:v>12146.537180435971</c:v>
                </c:pt>
                <c:pt idx="9">
                  <c:v>13777.225575051662</c:v>
                </c:pt>
                <c:pt idx="10">
                  <c:v>15449.018911191832</c:v>
                </c:pt>
                <c:pt idx="11">
                  <c:v>17160</c:v>
                </c:pt>
                <c:pt idx="12">
                  <c:v>47840</c:v>
                </c:pt>
                <c:pt idx="13">
                  <c:v>51520</c:v>
                </c:pt>
                <c:pt idx="14">
                  <c:v>55200</c:v>
                </c:pt>
                <c:pt idx="15">
                  <c:v>58880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A6-4B1B-8363-E6E48CB8FB96}"/>
            </c:ext>
          </c:extLst>
        </c:ser>
        <c:ser>
          <c:idx val="2"/>
          <c:order val="2"/>
          <c:tx>
            <c:strRef>
              <c:f>MDresch!$B$34</c:f>
              <c:strCache>
                <c:ptCount val="1"/>
                <c:pt idx="0">
                  <c:v>  Gesamtkosten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MDresch!$F$9:$U$9</c:f>
              <c:numCache>
                <c:formatCode>General_)</c:formatCode>
                <c:ptCount val="16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350</c:v>
                </c:pt>
                <c:pt idx="7">
                  <c:v>400</c:v>
                </c:pt>
                <c:pt idx="8">
                  <c:v>450</c:v>
                </c:pt>
                <c:pt idx="9">
                  <c:v>500</c:v>
                </c:pt>
                <c:pt idx="10">
                  <c:v>550</c:v>
                </c:pt>
                <c:pt idx="11">
                  <c:v>600</c:v>
                </c:pt>
                <c:pt idx="12">
                  <c:v>650</c:v>
                </c:pt>
                <c:pt idx="13">
                  <c:v>700</c:v>
                </c:pt>
                <c:pt idx="14">
                  <c:v>750</c:v>
                </c:pt>
                <c:pt idx="15">
                  <c:v>800</c:v>
                </c:pt>
              </c:numCache>
            </c:numRef>
          </c:cat>
          <c:val>
            <c:numRef>
              <c:f>MDresch!$F$34:$U$34</c:f>
              <c:numCache>
                <c:formatCode>#,##0\ </c:formatCode>
                <c:ptCount val="16"/>
                <c:pt idx="0">
                  <c:v>34753.205080756888</c:v>
                </c:pt>
                <c:pt idx="1">
                  <c:v>35899.897948556638</c:v>
                </c:pt>
                <c:pt idx="2">
                  <c:v>37140</c:v>
                </c:pt>
                <c:pt idx="3">
                  <c:v>38455.640646055101</c:v>
                </c:pt>
                <c:pt idx="4">
                  <c:v>39836.491673103708</c:v>
                </c:pt>
                <c:pt idx="5">
                  <c:v>41275.584412271572</c:v>
                </c:pt>
                <c:pt idx="6">
                  <c:v>42767.802986469091</c:v>
                </c:pt>
                <c:pt idx="7">
                  <c:v>44309.183588453088</c:v>
                </c:pt>
                <c:pt idx="8">
                  <c:v>45896.537180435975</c:v>
                </c:pt>
                <c:pt idx="9">
                  <c:v>47527.225575051663</c:v>
                </c:pt>
                <c:pt idx="10">
                  <c:v>49199.01891119183</c:v>
                </c:pt>
                <c:pt idx="11">
                  <c:v>50910</c:v>
                </c:pt>
                <c:pt idx="12">
                  <c:v>54590</c:v>
                </c:pt>
                <c:pt idx="13">
                  <c:v>58270</c:v>
                </c:pt>
                <c:pt idx="14">
                  <c:v>61950</c:v>
                </c:pt>
                <c:pt idx="15">
                  <c:v>65630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A6-4B1B-8363-E6E48CB8F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709696"/>
        <c:axId val="357716352"/>
      </c:lineChart>
      <c:catAx>
        <c:axId val="357709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Leistung je Jahr</a:t>
                </a:r>
              </a:p>
            </c:rich>
          </c:tx>
          <c:layout>
            <c:manualLayout>
              <c:xMode val="edge"/>
              <c:yMode val="edge"/>
              <c:x val="0.50455466570952134"/>
              <c:y val="0.930558119890186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7716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771635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Gesamtkosten je Jahr</a:t>
                </a:r>
              </a:p>
            </c:rich>
          </c:tx>
          <c:layout>
            <c:manualLayout>
              <c:xMode val="edge"/>
              <c:yMode val="edge"/>
              <c:x val="2.003649116510009E-2"/>
              <c:y val="0.31944519866051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7709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663855052306496"/>
          <c:y val="6.4367816091954022E-2"/>
          <c:w val="0.40313465090367973"/>
          <c:h val="0.193103448275862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0478053986747"/>
          <c:y val="4.1666779695040408E-2"/>
          <c:w val="0.86521101080624363"/>
          <c:h val="0.83889116452681345"/>
        </c:manualLayout>
      </c:layout>
      <c:lineChart>
        <c:grouping val="standard"/>
        <c:varyColors val="0"/>
        <c:ser>
          <c:idx val="0"/>
          <c:order val="0"/>
          <c:tx>
            <c:strRef>
              <c:f>MDresch!$B$22</c:f>
              <c:strCache>
                <c:ptCount val="1"/>
                <c:pt idx="0">
                  <c:v>Feste Kosten insgesamt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MDresch!$F$9:$U$9</c:f>
              <c:numCache>
                <c:formatCode>General_)</c:formatCode>
                <c:ptCount val="16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350</c:v>
                </c:pt>
                <c:pt idx="7">
                  <c:v>400</c:v>
                </c:pt>
                <c:pt idx="8">
                  <c:v>450</c:v>
                </c:pt>
                <c:pt idx="9">
                  <c:v>500</c:v>
                </c:pt>
                <c:pt idx="10">
                  <c:v>550</c:v>
                </c:pt>
                <c:pt idx="11">
                  <c:v>600</c:v>
                </c:pt>
                <c:pt idx="12">
                  <c:v>650</c:v>
                </c:pt>
                <c:pt idx="13">
                  <c:v>700</c:v>
                </c:pt>
                <c:pt idx="14">
                  <c:v>750</c:v>
                </c:pt>
                <c:pt idx="15">
                  <c:v>800</c:v>
                </c:pt>
              </c:numCache>
            </c:numRef>
          </c:cat>
          <c:val>
            <c:numRef>
              <c:f>MDresch!$F$23:$U$23</c:f>
              <c:numCache>
                <c:formatCode>#,##0.00\ </c:formatCode>
                <c:ptCount val="16"/>
                <c:pt idx="0">
                  <c:v>675</c:v>
                </c:pt>
                <c:pt idx="1">
                  <c:v>337.5</c:v>
                </c:pt>
                <c:pt idx="2">
                  <c:v>225</c:v>
                </c:pt>
                <c:pt idx="3">
                  <c:v>168.75</c:v>
                </c:pt>
                <c:pt idx="4">
                  <c:v>135</c:v>
                </c:pt>
                <c:pt idx="5">
                  <c:v>112.5</c:v>
                </c:pt>
                <c:pt idx="6">
                  <c:v>96.428571428571416</c:v>
                </c:pt>
                <c:pt idx="7">
                  <c:v>84.375</c:v>
                </c:pt>
                <c:pt idx="8">
                  <c:v>75</c:v>
                </c:pt>
                <c:pt idx="9">
                  <c:v>67.5</c:v>
                </c:pt>
                <c:pt idx="10">
                  <c:v>61.363636363636367</c:v>
                </c:pt>
                <c:pt idx="11">
                  <c:v>56.25</c:v>
                </c:pt>
                <c:pt idx="12">
                  <c:v>10.384615384615385</c:v>
                </c:pt>
                <c:pt idx="13">
                  <c:v>9.6428571428571423</c:v>
                </c:pt>
                <c:pt idx="14">
                  <c:v>9</c:v>
                </c:pt>
                <c:pt idx="15">
                  <c:v>8.4375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BF-4E42-8AE1-BC05C8292D58}"/>
            </c:ext>
          </c:extLst>
        </c:ser>
        <c:ser>
          <c:idx val="1"/>
          <c:order val="1"/>
          <c:tx>
            <c:strRef>
              <c:f>MDresch!$B$31</c:f>
              <c:strCache>
                <c:ptCount val="1"/>
                <c:pt idx="0">
                  <c:v>Variable Kosten insgesamt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MDresch!$F$9:$U$9</c:f>
              <c:numCache>
                <c:formatCode>General_)</c:formatCode>
                <c:ptCount val="16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350</c:v>
                </c:pt>
                <c:pt idx="7">
                  <c:v>400</c:v>
                </c:pt>
                <c:pt idx="8">
                  <c:v>450</c:v>
                </c:pt>
                <c:pt idx="9">
                  <c:v>500</c:v>
                </c:pt>
                <c:pt idx="10">
                  <c:v>550</c:v>
                </c:pt>
                <c:pt idx="11">
                  <c:v>600</c:v>
                </c:pt>
                <c:pt idx="12">
                  <c:v>650</c:v>
                </c:pt>
                <c:pt idx="13">
                  <c:v>700</c:v>
                </c:pt>
                <c:pt idx="14">
                  <c:v>750</c:v>
                </c:pt>
                <c:pt idx="15">
                  <c:v>800</c:v>
                </c:pt>
              </c:numCache>
            </c:numRef>
          </c:cat>
          <c:val>
            <c:numRef>
              <c:f>MDresch!$F$31:$U$31</c:f>
              <c:numCache>
                <c:formatCode>#,##0.00\ </c:formatCode>
                <c:ptCount val="16"/>
                <c:pt idx="0">
                  <c:v>20.064101615137755</c:v>
                </c:pt>
                <c:pt idx="1">
                  <c:v>21.498979485566359</c:v>
                </c:pt>
                <c:pt idx="2">
                  <c:v>22.6</c:v>
                </c:pt>
                <c:pt idx="3">
                  <c:v>23.528203230275508</c:v>
                </c:pt>
                <c:pt idx="4">
                  <c:v>24.345966692414834</c:v>
                </c:pt>
                <c:pt idx="5">
                  <c:v>25.085281374238573</c:v>
                </c:pt>
                <c:pt idx="6">
                  <c:v>25.765151389911683</c:v>
                </c:pt>
                <c:pt idx="7">
                  <c:v>26.397958971132713</c:v>
                </c:pt>
                <c:pt idx="8">
                  <c:v>26.992304845413265</c:v>
                </c:pt>
                <c:pt idx="9">
                  <c:v>27.554451150103326</c:v>
                </c:pt>
                <c:pt idx="10">
                  <c:v>28.089125293076059</c:v>
                </c:pt>
                <c:pt idx="11">
                  <c:v>28.6</c:v>
                </c:pt>
                <c:pt idx="12">
                  <c:v>73.599999999999994</c:v>
                </c:pt>
                <c:pt idx="13">
                  <c:v>73.599999999999994</c:v>
                </c:pt>
                <c:pt idx="14">
                  <c:v>73.599999999999994</c:v>
                </c:pt>
                <c:pt idx="15">
                  <c:v>73.599999999999994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BF-4E42-8AE1-BC05C8292D58}"/>
            </c:ext>
          </c:extLst>
        </c:ser>
        <c:ser>
          <c:idx val="2"/>
          <c:order val="2"/>
          <c:tx>
            <c:strRef>
              <c:f>MDresch!$B$35</c:f>
              <c:strCache>
                <c:ptCount val="1"/>
                <c:pt idx="0">
                  <c:v>  Gesamtkosten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MDresch!$F$9:$U$9</c:f>
              <c:numCache>
                <c:formatCode>General_)</c:formatCode>
                <c:ptCount val="16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350</c:v>
                </c:pt>
                <c:pt idx="7">
                  <c:v>400</c:v>
                </c:pt>
                <c:pt idx="8">
                  <c:v>450</c:v>
                </c:pt>
                <c:pt idx="9">
                  <c:v>500</c:v>
                </c:pt>
                <c:pt idx="10">
                  <c:v>550</c:v>
                </c:pt>
                <c:pt idx="11">
                  <c:v>600</c:v>
                </c:pt>
                <c:pt idx="12">
                  <c:v>650</c:v>
                </c:pt>
                <c:pt idx="13">
                  <c:v>700</c:v>
                </c:pt>
                <c:pt idx="14">
                  <c:v>750</c:v>
                </c:pt>
                <c:pt idx="15">
                  <c:v>800</c:v>
                </c:pt>
              </c:numCache>
            </c:numRef>
          </c:cat>
          <c:val>
            <c:numRef>
              <c:f>MDresch!$F$35:$U$35</c:f>
              <c:numCache>
                <c:formatCode>#,##0.00\ </c:formatCode>
                <c:ptCount val="16"/>
                <c:pt idx="0">
                  <c:v>695.0641016151377</c:v>
                </c:pt>
                <c:pt idx="1">
                  <c:v>358.99897948556634</c:v>
                </c:pt>
                <c:pt idx="2">
                  <c:v>247.6</c:v>
                </c:pt>
                <c:pt idx="3">
                  <c:v>192.27820323027549</c:v>
                </c:pt>
                <c:pt idx="4">
                  <c:v>159.34596669241483</c:v>
                </c:pt>
                <c:pt idx="5">
                  <c:v>137.58528137423858</c:v>
                </c:pt>
                <c:pt idx="6">
                  <c:v>122.1937228184831</c:v>
                </c:pt>
                <c:pt idx="7">
                  <c:v>110.77295897113271</c:v>
                </c:pt>
                <c:pt idx="8">
                  <c:v>101.99230484541326</c:v>
                </c:pt>
                <c:pt idx="9">
                  <c:v>95.054451150103318</c:v>
                </c:pt>
                <c:pt idx="10">
                  <c:v>89.452761656712426</c:v>
                </c:pt>
                <c:pt idx="11">
                  <c:v>84.85</c:v>
                </c:pt>
                <c:pt idx="12">
                  <c:v>83.984615384615381</c:v>
                </c:pt>
                <c:pt idx="13">
                  <c:v>83.242857142857133</c:v>
                </c:pt>
                <c:pt idx="14">
                  <c:v>82.6</c:v>
                </c:pt>
                <c:pt idx="15">
                  <c:v>82.037499999999994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BF-4E42-8AE1-BC05C8292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758464"/>
        <c:axId val="358158336"/>
      </c:lineChart>
      <c:catAx>
        <c:axId val="357758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Leistung je Jahr</a:t>
                </a:r>
              </a:p>
            </c:rich>
          </c:tx>
          <c:layout>
            <c:manualLayout>
              <c:xMode val="edge"/>
              <c:yMode val="edge"/>
              <c:x val="0.48633977570985448"/>
              <c:y val="0.930558119890186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8158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815833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Kosten je Leistungseinheit</a:t>
                </a:r>
              </a:p>
            </c:rich>
          </c:tx>
          <c:layout>
            <c:manualLayout>
              <c:xMode val="edge"/>
              <c:yMode val="edge"/>
              <c:x val="9.1074997017418276E-3"/>
              <c:y val="0.3166675717259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77584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534090909090917"/>
          <c:y val="8.5057471264367815E-2"/>
          <c:w val="0.34517045454545459"/>
          <c:h val="0.167816091954022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07803992740472"/>
          <c:y val="4.1666779695040408E-2"/>
          <c:w val="0.88566243194192373"/>
          <c:h val="0.85000230577882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'SF-Häcksler'!$B$14</c:f>
              <c:strCache>
                <c:ptCount val="1"/>
                <c:pt idx="0">
                  <c:v>Abschreibung (fest)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'SF-Häcksler'!$F$9:$U$9</c:f>
              <c:numCache>
                <c:formatCode>General_)</c:formatCode>
                <c:ptCount val="16"/>
                <c:pt idx="0">
                  <c:v>40</c:v>
                </c:pt>
                <c:pt idx="1">
                  <c:v>80</c:v>
                </c:pt>
                <c:pt idx="2">
                  <c:v>120</c:v>
                </c:pt>
                <c:pt idx="3">
                  <c:v>160</c:v>
                </c:pt>
                <c:pt idx="4">
                  <c:v>200</c:v>
                </c:pt>
                <c:pt idx="5">
                  <c:v>240</c:v>
                </c:pt>
                <c:pt idx="6">
                  <c:v>280</c:v>
                </c:pt>
                <c:pt idx="7">
                  <c:v>320</c:v>
                </c:pt>
                <c:pt idx="8">
                  <c:v>360</c:v>
                </c:pt>
                <c:pt idx="9">
                  <c:v>400</c:v>
                </c:pt>
                <c:pt idx="10">
                  <c:v>440</c:v>
                </c:pt>
                <c:pt idx="11">
                  <c:v>480</c:v>
                </c:pt>
                <c:pt idx="12">
                  <c:v>520</c:v>
                </c:pt>
                <c:pt idx="13">
                  <c:v>560</c:v>
                </c:pt>
                <c:pt idx="14">
                  <c:v>600</c:v>
                </c:pt>
                <c:pt idx="15">
                  <c:v>640</c:v>
                </c:pt>
              </c:numCache>
            </c:numRef>
          </c:cat>
          <c:val>
            <c:numRef>
              <c:f>'SF-Häcksler'!$F$15:$U$15</c:f>
              <c:numCache>
                <c:formatCode>#,##0.00\ </c:formatCode>
                <c:ptCount val="16"/>
                <c:pt idx="0">
                  <c:v>1125</c:v>
                </c:pt>
                <c:pt idx="1">
                  <c:v>562.5</c:v>
                </c:pt>
                <c:pt idx="2">
                  <c:v>375</c:v>
                </c:pt>
                <c:pt idx="3">
                  <c:v>281.25</c:v>
                </c:pt>
                <c:pt idx="4">
                  <c:v>225</c:v>
                </c:pt>
                <c:pt idx="5">
                  <c:v>187.5</c:v>
                </c:pt>
                <c:pt idx="6">
                  <c:v>160.71428571428572</c:v>
                </c:pt>
                <c:pt idx="7">
                  <c:v>140.625</c:v>
                </c:pt>
                <c:pt idx="8">
                  <c:v>125</c:v>
                </c:pt>
                <c:pt idx="9">
                  <c:v>112.5</c:v>
                </c:pt>
                <c:pt idx="10">
                  <c:v>102.27272727272727</c:v>
                </c:pt>
                <c:pt idx="11">
                  <c:v>93.75</c:v>
                </c:pt>
                <c:pt idx="12">
                  <c:v>86.538461538461533</c:v>
                </c:pt>
                <c:pt idx="13">
                  <c:v>80.357142857142861</c:v>
                </c:pt>
                <c:pt idx="14">
                  <c:v>75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04-48ED-9E7D-0E38F9E9A366}"/>
            </c:ext>
          </c:extLst>
        </c:ser>
        <c:ser>
          <c:idx val="4"/>
          <c:order val="1"/>
          <c:tx>
            <c:strRef>
              <c:f>'SF-Häcksler'!$B$25</c:f>
              <c:strCache>
                <c:ptCount val="1"/>
                <c:pt idx="0">
                  <c:v>Abschreibung (var)</c:v>
                </c:pt>
              </c:strCache>
            </c:strRef>
          </c:tx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'SF-Häcksler'!$F$9:$U$9</c:f>
              <c:numCache>
                <c:formatCode>General_)</c:formatCode>
                <c:ptCount val="16"/>
                <c:pt idx="0">
                  <c:v>40</c:v>
                </c:pt>
                <c:pt idx="1">
                  <c:v>80</c:v>
                </c:pt>
                <c:pt idx="2">
                  <c:v>120</c:v>
                </c:pt>
                <c:pt idx="3">
                  <c:v>160</c:v>
                </c:pt>
                <c:pt idx="4">
                  <c:v>200</c:v>
                </c:pt>
                <c:pt idx="5">
                  <c:v>240</c:v>
                </c:pt>
                <c:pt idx="6">
                  <c:v>280</c:v>
                </c:pt>
                <c:pt idx="7">
                  <c:v>320</c:v>
                </c:pt>
                <c:pt idx="8">
                  <c:v>360</c:v>
                </c:pt>
                <c:pt idx="9">
                  <c:v>400</c:v>
                </c:pt>
                <c:pt idx="10">
                  <c:v>440</c:v>
                </c:pt>
                <c:pt idx="11">
                  <c:v>480</c:v>
                </c:pt>
                <c:pt idx="12">
                  <c:v>520</c:v>
                </c:pt>
                <c:pt idx="13">
                  <c:v>560</c:v>
                </c:pt>
                <c:pt idx="14">
                  <c:v>600</c:v>
                </c:pt>
                <c:pt idx="15">
                  <c:v>640</c:v>
                </c:pt>
              </c:numCache>
            </c:numRef>
          </c:cat>
          <c:val>
            <c:numRef>
              <c:f>'SF-Häcksler'!$F$25:$U$25</c:f>
              <c:numCache>
                <c:formatCode>#,##0.00\ 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04-48ED-9E7D-0E38F9E9A366}"/>
            </c:ext>
          </c:extLst>
        </c:ser>
        <c:ser>
          <c:idx val="1"/>
          <c:order val="2"/>
          <c:tx>
            <c:strRef>
              <c:f>'SF-Häcksler'!$B$16</c:f>
              <c:strCache>
                <c:ptCount val="1"/>
                <c:pt idx="0">
                  <c:v>Zinsanspruch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'SF-Häcksler'!$F$9:$U$9</c:f>
              <c:numCache>
                <c:formatCode>General_)</c:formatCode>
                <c:ptCount val="16"/>
                <c:pt idx="0">
                  <c:v>40</c:v>
                </c:pt>
                <c:pt idx="1">
                  <c:v>80</c:v>
                </c:pt>
                <c:pt idx="2">
                  <c:v>120</c:v>
                </c:pt>
                <c:pt idx="3">
                  <c:v>160</c:v>
                </c:pt>
                <c:pt idx="4">
                  <c:v>200</c:v>
                </c:pt>
                <c:pt idx="5">
                  <c:v>240</c:v>
                </c:pt>
                <c:pt idx="6">
                  <c:v>280</c:v>
                </c:pt>
                <c:pt idx="7">
                  <c:v>320</c:v>
                </c:pt>
                <c:pt idx="8">
                  <c:v>360</c:v>
                </c:pt>
                <c:pt idx="9">
                  <c:v>400</c:v>
                </c:pt>
                <c:pt idx="10">
                  <c:v>440</c:v>
                </c:pt>
                <c:pt idx="11">
                  <c:v>480</c:v>
                </c:pt>
                <c:pt idx="12">
                  <c:v>520</c:v>
                </c:pt>
                <c:pt idx="13">
                  <c:v>560</c:v>
                </c:pt>
                <c:pt idx="14">
                  <c:v>600</c:v>
                </c:pt>
                <c:pt idx="15">
                  <c:v>640</c:v>
                </c:pt>
              </c:numCache>
            </c:numRef>
          </c:cat>
          <c:val>
            <c:numRef>
              <c:f>'SF-Häcksler'!$F$17:$U$17</c:f>
              <c:numCache>
                <c:formatCode>#,##0.00\ </c:formatCode>
                <c:ptCount val="16"/>
                <c:pt idx="0">
                  <c:v>206.25</c:v>
                </c:pt>
                <c:pt idx="1">
                  <c:v>103.125</c:v>
                </c:pt>
                <c:pt idx="2">
                  <c:v>68.75</c:v>
                </c:pt>
                <c:pt idx="3">
                  <c:v>51.5625</c:v>
                </c:pt>
                <c:pt idx="4">
                  <c:v>41.25</c:v>
                </c:pt>
                <c:pt idx="5">
                  <c:v>34.375</c:v>
                </c:pt>
                <c:pt idx="6">
                  <c:v>29.464285714285715</c:v>
                </c:pt>
                <c:pt idx="7">
                  <c:v>25.78125</c:v>
                </c:pt>
                <c:pt idx="8">
                  <c:v>22.916666666666668</c:v>
                </c:pt>
                <c:pt idx="9">
                  <c:v>20.625</c:v>
                </c:pt>
                <c:pt idx="10">
                  <c:v>18.75</c:v>
                </c:pt>
                <c:pt idx="11">
                  <c:v>17.1875</c:v>
                </c:pt>
                <c:pt idx="12">
                  <c:v>15.865384615384615</c:v>
                </c:pt>
                <c:pt idx="13">
                  <c:v>14.732142857142858</c:v>
                </c:pt>
                <c:pt idx="14">
                  <c:v>13.75</c:v>
                </c:pt>
                <c:pt idx="15">
                  <c:v>12.890625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04-48ED-9E7D-0E38F9E9A366}"/>
            </c:ext>
          </c:extLst>
        </c:ser>
        <c:ser>
          <c:idx val="2"/>
          <c:order val="3"/>
          <c:tx>
            <c:strRef>
              <c:f>'SF-Häcksler'!$B$18</c:f>
              <c:strCache>
                <c:ptCount val="1"/>
                <c:pt idx="0">
                  <c:v>Versicherung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'SF-Häcksler'!$F$9:$U$9</c:f>
              <c:numCache>
                <c:formatCode>General_)</c:formatCode>
                <c:ptCount val="16"/>
                <c:pt idx="0">
                  <c:v>40</c:v>
                </c:pt>
                <c:pt idx="1">
                  <c:v>80</c:v>
                </c:pt>
                <c:pt idx="2">
                  <c:v>120</c:v>
                </c:pt>
                <c:pt idx="3">
                  <c:v>160</c:v>
                </c:pt>
                <c:pt idx="4">
                  <c:v>200</c:v>
                </c:pt>
                <c:pt idx="5">
                  <c:v>240</c:v>
                </c:pt>
                <c:pt idx="6">
                  <c:v>280</c:v>
                </c:pt>
                <c:pt idx="7">
                  <c:v>320</c:v>
                </c:pt>
                <c:pt idx="8">
                  <c:v>360</c:v>
                </c:pt>
                <c:pt idx="9">
                  <c:v>400</c:v>
                </c:pt>
                <c:pt idx="10">
                  <c:v>440</c:v>
                </c:pt>
                <c:pt idx="11">
                  <c:v>480</c:v>
                </c:pt>
                <c:pt idx="12">
                  <c:v>520</c:v>
                </c:pt>
                <c:pt idx="13">
                  <c:v>560</c:v>
                </c:pt>
                <c:pt idx="14">
                  <c:v>600</c:v>
                </c:pt>
                <c:pt idx="15">
                  <c:v>640</c:v>
                </c:pt>
              </c:numCache>
            </c:numRef>
          </c:cat>
          <c:val>
            <c:numRef>
              <c:f>'SF-Häcksler'!$F$19:$U$19</c:f>
              <c:numCache>
                <c:formatCode>#,##0.00\ </c:formatCode>
                <c:ptCount val="16"/>
                <c:pt idx="0">
                  <c:v>31.25</c:v>
                </c:pt>
                <c:pt idx="1">
                  <c:v>15.625</c:v>
                </c:pt>
                <c:pt idx="2">
                  <c:v>10.416666666666666</c:v>
                </c:pt>
                <c:pt idx="3">
                  <c:v>7.8125</c:v>
                </c:pt>
                <c:pt idx="4">
                  <c:v>6.25</c:v>
                </c:pt>
                <c:pt idx="5">
                  <c:v>5.208333333333333</c:v>
                </c:pt>
                <c:pt idx="6">
                  <c:v>4.4642857142857144</c:v>
                </c:pt>
                <c:pt idx="7">
                  <c:v>3.90625</c:v>
                </c:pt>
                <c:pt idx="8">
                  <c:v>3.4722222222222223</c:v>
                </c:pt>
                <c:pt idx="9">
                  <c:v>3.125</c:v>
                </c:pt>
                <c:pt idx="10">
                  <c:v>2.8409090909090908</c:v>
                </c:pt>
                <c:pt idx="11">
                  <c:v>2.6041666666666665</c:v>
                </c:pt>
                <c:pt idx="12">
                  <c:v>2.4038461538461537</c:v>
                </c:pt>
                <c:pt idx="13">
                  <c:v>2.2321428571428572</c:v>
                </c:pt>
                <c:pt idx="14">
                  <c:v>2.0833333333333335</c:v>
                </c:pt>
                <c:pt idx="15">
                  <c:v>1.953125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04-48ED-9E7D-0E38F9E9A366}"/>
            </c:ext>
          </c:extLst>
        </c:ser>
        <c:ser>
          <c:idx val="3"/>
          <c:order val="4"/>
          <c:tx>
            <c:strRef>
              <c:f>'SF-Häcksler'!$B$20</c:f>
              <c:strCache>
                <c:ptCount val="1"/>
                <c:pt idx="0">
                  <c:v>Unterbringung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'SF-Häcksler'!$F$9:$U$9</c:f>
              <c:numCache>
                <c:formatCode>General_)</c:formatCode>
                <c:ptCount val="16"/>
                <c:pt idx="0">
                  <c:v>40</c:v>
                </c:pt>
                <c:pt idx="1">
                  <c:v>80</c:v>
                </c:pt>
                <c:pt idx="2">
                  <c:v>120</c:v>
                </c:pt>
                <c:pt idx="3">
                  <c:v>160</c:v>
                </c:pt>
                <c:pt idx="4">
                  <c:v>200</c:v>
                </c:pt>
                <c:pt idx="5">
                  <c:v>240</c:v>
                </c:pt>
                <c:pt idx="6">
                  <c:v>280</c:v>
                </c:pt>
                <c:pt idx="7">
                  <c:v>320</c:v>
                </c:pt>
                <c:pt idx="8">
                  <c:v>360</c:v>
                </c:pt>
                <c:pt idx="9">
                  <c:v>400</c:v>
                </c:pt>
                <c:pt idx="10">
                  <c:v>440</c:v>
                </c:pt>
                <c:pt idx="11">
                  <c:v>480</c:v>
                </c:pt>
                <c:pt idx="12">
                  <c:v>520</c:v>
                </c:pt>
                <c:pt idx="13">
                  <c:v>560</c:v>
                </c:pt>
                <c:pt idx="14">
                  <c:v>600</c:v>
                </c:pt>
                <c:pt idx="15">
                  <c:v>640</c:v>
                </c:pt>
              </c:numCache>
            </c:numRef>
          </c:cat>
          <c:val>
            <c:numRef>
              <c:f>'SF-Häcksler'!$F$21:$U$21</c:f>
              <c:numCache>
                <c:formatCode>#,##0.00\ </c:formatCode>
                <c:ptCount val="16"/>
                <c:pt idx="0">
                  <c:v>12.5</c:v>
                </c:pt>
                <c:pt idx="1">
                  <c:v>6.25</c:v>
                </c:pt>
                <c:pt idx="2">
                  <c:v>4.166666666666667</c:v>
                </c:pt>
                <c:pt idx="3">
                  <c:v>3.125</c:v>
                </c:pt>
                <c:pt idx="4">
                  <c:v>2.5</c:v>
                </c:pt>
                <c:pt idx="5">
                  <c:v>2.0833333333333335</c:v>
                </c:pt>
                <c:pt idx="6">
                  <c:v>1.7857142857142858</c:v>
                </c:pt>
                <c:pt idx="7">
                  <c:v>1.5625</c:v>
                </c:pt>
                <c:pt idx="8">
                  <c:v>1.3888888888888888</c:v>
                </c:pt>
                <c:pt idx="9">
                  <c:v>1.25</c:v>
                </c:pt>
                <c:pt idx="10">
                  <c:v>1.1363636363636365</c:v>
                </c:pt>
                <c:pt idx="11">
                  <c:v>1.0416666666666667</c:v>
                </c:pt>
                <c:pt idx="12">
                  <c:v>0.96153846153846156</c:v>
                </c:pt>
                <c:pt idx="13">
                  <c:v>0.8928571428571429</c:v>
                </c:pt>
                <c:pt idx="14">
                  <c:v>0.83333333333333337</c:v>
                </c:pt>
                <c:pt idx="15">
                  <c:v>0.78125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04-48ED-9E7D-0E38F9E9A366}"/>
            </c:ext>
          </c:extLst>
        </c:ser>
        <c:ser>
          <c:idx val="5"/>
          <c:order val="5"/>
          <c:tx>
            <c:strRef>
              <c:f>'SF-Häcksler'!$B$27</c:f>
              <c:strCache>
                <c:ptCount val="1"/>
                <c:pt idx="0">
                  <c:v>Reparaturkosten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'SF-Häcksler'!$F$9:$U$9</c:f>
              <c:numCache>
                <c:formatCode>General_)</c:formatCode>
                <c:ptCount val="16"/>
                <c:pt idx="0">
                  <c:v>40</c:v>
                </c:pt>
                <c:pt idx="1">
                  <c:v>80</c:v>
                </c:pt>
                <c:pt idx="2">
                  <c:v>120</c:v>
                </c:pt>
                <c:pt idx="3">
                  <c:v>160</c:v>
                </c:pt>
                <c:pt idx="4">
                  <c:v>200</c:v>
                </c:pt>
                <c:pt idx="5">
                  <c:v>240</c:v>
                </c:pt>
                <c:pt idx="6">
                  <c:v>280</c:v>
                </c:pt>
                <c:pt idx="7">
                  <c:v>320</c:v>
                </c:pt>
                <c:pt idx="8">
                  <c:v>360</c:v>
                </c:pt>
                <c:pt idx="9">
                  <c:v>400</c:v>
                </c:pt>
                <c:pt idx="10">
                  <c:v>440</c:v>
                </c:pt>
                <c:pt idx="11">
                  <c:v>480</c:v>
                </c:pt>
                <c:pt idx="12">
                  <c:v>520</c:v>
                </c:pt>
                <c:pt idx="13">
                  <c:v>560</c:v>
                </c:pt>
                <c:pt idx="14">
                  <c:v>600</c:v>
                </c:pt>
                <c:pt idx="15">
                  <c:v>640</c:v>
                </c:pt>
              </c:numCache>
            </c:numRef>
          </c:cat>
          <c:val>
            <c:numRef>
              <c:f>'SF-Häcksler'!$F$27:$U$27</c:f>
              <c:numCache>
                <c:formatCode>#,##0.00\ </c:formatCode>
                <c:ptCount val="16"/>
                <c:pt idx="0">
                  <c:v>6.7131711334261883</c:v>
                </c:pt>
                <c:pt idx="1">
                  <c:v>9.4938576634228795</c:v>
                </c:pt>
                <c:pt idx="2">
                  <c:v>11.627553482998906</c:v>
                </c:pt>
                <c:pt idx="3">
                  <c:v>13.426342266852377</c:v>
                </c:pt>
                <c:pt idx="4">
                  <c:v>15.01110699893027</c:v>
                </c:pt>
                <c:pt idx="5">
                  <c:v>16.443843832875572</c:v>
                </c:pt>
                <c:pt idx="6">
                  <c:v>17.761381327663301</c:v>
                </c:pt>
                <c:pt idx="7">
                  <c:v>18.987715326845759</c:v>
                </c:pt>
                <c:pt idx="8">
                  <c:v>20.139513400278567</c:v>
                </c:pt>
                <c:pt idx="9">
                  <c:v>21.228911104120876</c:v>
                </c:pt>
                <c:pt idx="10">
                  <c:v>22.265069803019554</c:v>
                </c:pt>
                <c:pt idx="11">
                  <c:v>23.255106965997811</c:v>
                </c:pt>
                <c:pt idx="12">
                  <c:v>24.204682742532832</c:v>
                </c:pt>
                <c:pt idx="13">
                  <c:v>25.118386360061692</c:v>
                </c:pt>
                <c:pt idx="14">
                  <c:v>26</c:v>
                </c:pt>
                <c:pt idx="1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04-48ED-9E7D-0E38F9E9A366}"/>
            </c:ext>
          </c:extLst>
        </c:ser>
        <c:ser>
          <c:idx val="6"/>
          <c:order val="6"/>
          <c:tx>
            <c:strRef>
              <c:f>'SF-Häcksler'!$B$29</c:f>
              <c:strCache>
                <c:ptCount val="1"/>
                <c:pt idx="0">
                  <c:v>Betriebsstoffkosten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'SF-Häcksler'!$F$9:$U$9</c:f>
              <c:numCache>
                <c:formatCode>General_)</c:formatCode>
                <c:ptCount val="16"/>
                <c:pt idx="0">
                  <c:v>40</c:v>
                </c:pt>
                <c:pt idx="1">
                  <c:v>80</c:v>
                </c:pt>
                <c:pt idx="2">
                  <c:v>120</c:v>
                </c:pt>
                <c:pt idx="3">
                  <c:v>160</c:v>
                </c:pt>
                <c:pt idx="4">
                  <c:v>200</c:v>
                </c:pt>
                <c:pt idx="5">
                  <c:v>240</c:v>
                </c:pt>
                <c:pt idx="6">
                  <c:v>280</c:v>
                </c:pt>
                <c:pt idx="7">
                  <c:v>320</c:v>
                </c:pt>
                <c:pt idx="8">
                  <c:v>360</c:v>
                </c:pt>
                <c:pt idx="9">
                  <c:v>400</c:v>
                </c:pt>
                <c:pt idx="10">
                  <c:v>440</c:v>
                </c:pt>
                <c:pt idx="11">
                  <c:v>480</c:v>
                </c:pt>
                <c:pt idx="12">
                  <c:v>520</c:v>
                </c:pt>
                <c:pt idx="13">
                  <c:v>560</c:v>
                </c:pt>
                <c:pt idx="14">
                  <c:v>600</c:v>
                </c:pt>
                <c:pt idx="15">
                  <c:v>640</c:v>
                </c:pt>
              </c:numCache>
            </c:numRef>
          </c:cat>
          <c:val>
            <c:numRef>
              <c:f>'SF-Häcksler'!$F$29:$U$29</c:f>
              <c:numCache>
                <c:formatCode>#,##0.00\ </c:formatCode>
                <c:ptCount val="16"/>
                <c:pt idx="0">
                  <c:v>14.110000000000001</c:v>
                </c:pt>
                <c:pt idx="1">
                  <c:v>14.110000000000001</c:v>
                </c:pt>
                <c:pt idx="2">
                  <c:v>14.110000000000001</c:v>
                </c:pt>
                <c:pt idx="3">
                  <c:v>14.110000000000001</c:v>
                </c:pt>
                <c:pt idx="4">
                  <c:v>14.110000000000001</c:v>
                </c:pt>
                <c:pt idx="5">
                  <c:v>14.110000000000001</c:v>
                </c:pt>
                <c:pt idx="6">
                  <c:v>14.110000000000001</c:v>
                </c:pt>
                <c:pt idx="7">
                  <c:v>14.110000000000001</c:v>
                </c:pt>
                <c:pt idx="8">
                  <c:v>14.110000000000001</c:v>
                </c:pt>
                <c:pt idx="9">
                  <c:v>14.110000000000001</c:v>
                </c:pt>
                <c:pt idx="10">
                  <c:v>14.110000000000001</c:v>
                </c:pt>
                <c:pt idx="11">
                  <c:v>14.110000000000001</c:v>
                </c:pt>
                <c:pt idx="12">
                  <c:v>14.110000000000001</c:v>
                </c:pt>
                <c:pt idx="13">
                  <c:v>14.110000000000001</c:v>
                </c:pt>
                <c:pt idx="14">
                  <c:v>14.110000000000001</c:v>
                </c:pt>
                <c:pt idx="15">
                  <c:v>14.110000000000001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04-48ED-9E7D-0E38F9E9A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58270848"/>
        <c:axId val="358273024"/>
      </c:barChart>
      <c:catAx>
        <c:axId val="358270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Leistung je Jahr</a:t>
                </a:r>
              </a:p>
            </c:rich>
          </c:tx>
          <c:layout>
            <c:manualLayout>
              <c:xMode val="edge"/>
              <c:yMode val="edge"/>
              <c:x val="0.47731406095484519"/>
              <c:y val="0.930558119890186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8273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827302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Kosten je Leistungseinheit</a:t>
                </a:r>
              </a:p>
            </c:rich>
          </c:tx>
          <c:layout>
            <c:manualLayout>
              <c:xMode val="edge"/>
              <c:yMode val="edge"/>
              <c:x val="1.8148899942747949E-2"/>
              <c:y val="0.286111865327178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82708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70877294729099"/>
          <c:y val="6.2068965517241378E-2"/>
          <c:w val="0.20538262214390335"/>
          <c:h val="0.432184209732404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19056261343014"/>
          <c:y val="4.1666779695040408E-2"/>
          <c:w val="0.84754990925589835"/>
          <c:h val="0.85000230577882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'SF-Häcksler'!$B$14</c:f>
              <c:strCache>
                <c:ptCount val="1"/>
                <c:pt idx="0">
                  <c:v>Abschreibung (fest)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'SF-Häcksler'!$F$9:$U$9</c:f>
              <c:numCache>
                <c:formatCode>General_)</c:formatCode>
                <c:ptCount val="16"/>
                <c:pt idx="0">
                  <c:v>40</c:v>
                </c:pt>
                <c:pt idx="1">
                  <c:v>80</c:v>
                </c:pt>
                <c:pt idx="2">
                  <c:v>120</c:v>
                </c:pt>
                <c:pt idx="3">
                  <c:v>160</c:v>
                </c:pt>
                <c:pt idx="4">
                  <c:v>200</c:v>
                </c:pt>
                <c:pt idx="5">
                  <c:v>240</c:v>
                </c:pt>
                <c:pt idx="6">
                  <c:v>280</c:v>
                </c:pt>
                <c:pt idx="7">
                  <c:v>320</c:v>
                </c:pt>
                <c:pt idx="8">
                  <c:v>360</c:v>
                </c:pt>
                <c:pt idx="9">
                  <c:v>400</c:v>
                </c:pt>
                <c:pt idx="10">
                  <c:v>440</c:v>
                </c:pt>
                <c:pt idx="11">
                  <c:v>480</c:v>
                </c:pt>
                <c:pt idx="12">
                  <c:v>520</c:v>
                </c:pt>
                <c:pt idx="13">
                  <c:v>560</c:v>
                </c:pt>
                <c:pt idx="14">
                  <c:v>600</c:v>
                </c:pt>
                <c:pt idx="15">
                  <c:v>640</c:v>
                </c:pt>
              </c:numCache>
            </c:numRef>
          </c:cat>
          <c:val>
            <c:numRef>
              <c:f>'SF-Häcksler'!$F$14:$U$14</c:f>
              <c:numCache>
                <c:formatCode>#,##0\ </c:formatCode>
                <c:ptCount val="16"/>
                <c:pt idx="0">
                  <c:v>45000</c:v>
                </c:pt>
                <c:pt idx="1">
                  <c:v>45000</c:v>
                </c:pt>
                <c:pt idx="2">
                  <c:v>45000</c:v>
                </c:pt>
                <c:pt idx="3">
                  <c:v>45000</c:v>
                </c:pt>
                <c:pt idx="4">
                  <c:v>45000</c:v>
                </c:pt>
                <c:pt idx="5">
                  <c:v>45000</c:v>
                </c:pt>
                <c:pt idx="6">
                  <c:v>45000</c:v>
                </c:pt>
                <c:pt idx="7">
                  <c:v>45000</c:v>
                </c:pt>
                <c:pt idx="8">
                  <c:v>45000</c:v>
                </c:pt>
                <c:pt idx="9">
                  <c:v>45000</c:v>
                </c:pt>
                <c:pt idx="10">
                  <c:v>45000</c:v>
                </c:pt>
                <c:pt idx="11">
                  <c:v>45000</c:v>
                </c:pt>
                <c:pt idx="12">
                  <c:v>45000</c:v>
                </c:pt>
                <c:pt idx="13">
                  <c:v>45000</c:v>
                </c:pt>
                <c:pt idx="14">
                  <c:v>45000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11-40C9-B94A-CC7DBC7DCD9C}"/>
            </c:ext>
          </c:extLst>
        </c:ser>
        <c:ser>
          <c:idx val="4"/>
          <c:order val="1"/>
          <c:tx>
            <c:strRef>
              <c:f>'SF-Häcksler'!$B$25</c:f>
              <c:strCache>
                <c:ptCount val="1"/>
                <c:pt idx="0">
                  <c:v>Abschreibung (var)</c:v>
                </c:pt>
              </c:strCache>
            </c:strRef>
          </c:tx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'SF-Häcksler'!$F$9:$U$9</c:f>
              <c:numCache>
                <c:formatCode>General_)</c:formatCode>
                <c:ptCount val="16"/>
                <c:pt idx="0">
                  <c:v>40</c:v>
                </c:pt>
                <c:pt idx="1">
                  <c:v>80</c:v>
                </c:pt>
                <c:pt idx="2">
                  <c:v>120</c:v>
                </c:pt>
                <c:pt idx="3">
                  <c:v>160</c:v>
                </c:pt>
                <c:pt idx="4">
                  <c:v>200</c:v>
                </c:pt>
                <c:pt idx="5">
                  <c:v>240</c:v>
                </c:pt>
                <c:pt idx="6">
                  <c:v>280</c:v>
                </c:pt>
                <c:pt idx="7">
                  <c:v>320</c:v>
                </c:pt>
                <c:pt idx="8">
                  <c:v>360</c:v>
                </c:pt>
                <c:pt idx="9">
                  <c:v>400</c:v>
                </c:pt>
                <c:pt idx="10">
                  <c:v>440</c:v>
                </c:pt>
                <c:pt idx="11">
                  <c:v>480</c:v>
                </c:pt>
                <c:pt idx="12">
                  <c:v>520</c:v>
                </c:pt>
                <c:pt idx="13">
                  <c:v>560</c:v>
                </c:pt>
                <c:pt idx="14">
                  <c:v>600</c:v>
                </c:pt>
                <c:pt idx="15">
                  <c:v>640</c:v>
                </c:pt>
              </c:numCache>
            </c:numRef>
          </c:cat>
          <c:val>
            <c:numRef>
              <c:f>'SF-Häcksler'!$F$26:$U$26</c:f>
              <c:numCache>
                <c:formatCode>#,##0\ 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11-40C9-B94A-CC7DBC7DCD9C}"/>
            </c:ext>
          </c:extLst>
        </c:ser>
        <c:ser>
          <c:idx val="1"/>
          <c:order val="2"/>
          <c:tx>
            <c:strRef>
              <c:f>'SF-Häcksler'!$B$16</c:f>
              <c:strCache>
                <c:ptCount val="1"/>
                <c:pt idx="0">
                  <c:v>Zinsanspruch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'SF-Häcksler'!$F$9:$U$9</c:f>
              <c:numCache>
                <c:formatCode>General_)</c:formatCode>
                <c:ptCount val="16"/>
                <c:pt idx="0">
                  <c:v>40</c:v>
                </c:pt>
                <c:pt idx="1">
                  <c:v>80</c:v>
                </c:pt>
                <c:pt idx="2">
                  <c:v>120</c:v>
                </c:pt>
                <c:pt idx="3">
                  <c:v>160</c:v>
                </c:pt>
                <c:pt idx="4">
                  <c:v>200</c:v>
                </c:pt>
                <c:pt idx="5">
                  <c:v>240</c:v>
                </c:pt>
                <c:pt idx="6">
                  <c:v>280</c:v>
                </c:pt>
                <c:pt idx="7">
                  <c:v>320</c:v>
                </c:pt>
                <c:pt idx="8">
                  <c:v>360</c:v>
                </c:pt>
                <c:pt idx="9">
                  <c:v>400</c:v>
                </c:pt>
                <c:pt idx="10">
                  <c:v>440</c:v>
                </c:pt>
                <c:pt idx="11">
                  <c:v>480</c:v>
                </c:pt>
                <c:pt idx="12">
                  <c:v>520</c:v>
                </c:pt>
                <c:pt idx="13">
                  <c:v>560</c:v>
                </c:pt>
                <c:pt idx="14">
                  <c:v>600</c:v>
                </c:pt>
                <c:pt idx="15">
                  <c:v>640</c:v>
                </c:pt>
              </c:numCache>
            </c:numRef>
          </c:cat>
          <c:val>
            <c:numRef>
              <c:f>'SF-Häcksler'!$F$16:$U$16</c:f>
              <c:numCache>
                <c:formatCode>#,##0\ </c:formatCode>
                <c:ptCount val="16"/>
                <c:pt idx="0">
                  <c:v>8250</c:v>
                </c:pt>
                <c:pt idx="1">
                  <c:v>8250</c:v>
                </c:pt>
                <c:pt idx="2">
                  <c:v>8250</c:v>
                </c:pt>
                <c:pt idx="3">
                  <c:v>8250</c:v>
                </c:pt>
                <c:pt idx="4">
                  <c:v>8250</c:v>
                </c:pt>
                <c:pt idx="5">
                  <c:v>8250</c:v>
                </c:pt>
                <c:pt idx="6">
                  <c:v>8250</c:v>
                </c:pt>
                <c:pt idx="7">
                  <c:v>8250</c:v>
                </c:pt>
                <c:pt idx="8">
                  <c:v>8250</c:v>
                </c:pt>
                <c:pt idx="9">
                  <c:v>8250</c:v>
                </c:pt>
                <c:pt idx="10">
                  <c:v>8250</c:v>
                </c:pt>
                <c:pt idx="11">
                  <c:v>8250</c:v>
                </c:pt>
                <c:pt idx="12">
                  <c:v>8250</c:v>
                </c:pt>
                <c:pt idx="13">
                  <c:v>8250</c:v>
                </c:pt>
                <c:pt idx="14">
                  <c:v>8250</c:v>
                </c:pt>
                <c:pt idx="15">
                  <c:v>8250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11-40C9-B94A-CC7DBC7DCD9C}"/>
            </c:ext>
          </c:extLst>
        </c:ser>
        <c:ser>
          <c:idx val="2"/>
          <c:order val="3"/>
          <c:tx>
            <c:strRef>
              <c:f>'SF-Häcksler'!$B$18</c:f>
              <c:strCache>
                <c:ptCount val="1"/>
                <c:pt idx="0">
                  <c:v>Versicherung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'SF-Häcksler'!$F$9:$U$9</c:f>
              <c:numCache>
                <c:formatCode>General_)</c:formatCode>
                <c:ptCount val="16"/>
                <c:pt idx="0">
                  <c:v>40</c:v>
                </c:pt>
                <c:pt idx="1">
                  <c:v>80</c:v>
                </c:pt>
                <c:pt idx="2">
                  <c:v>120</c:v>
                </c:pt>
                <c:pt idx="3">
                  <c:v>160</c:v>
                </c:pt>
                <c:pt idx="4">
                  <c:v>200</c:v>
                </c:pt>
                <c:pt idx="5">
                  <c:v>240</c:v>
                </c:pt>
                <c:pt idx="6">
                  <c:v>280</c:v>
                </c:pt>
                <c:pt idx="7">
                  <c:v>320</c:v>
                </c:pt>
                <c:pt idx="8">
                  <c:v>360</c:v>
                </c:pt>
                <c:pt idx="9">
                  <c:v>400</c:v>
                </c:pt>
                <c:pt idx="10">
                  <c:v>440</c:v>
                </c:pt>
                <c:pt idx="11">
                  <c:v>480</c:v>
                </c:pt>
                <c:pt idx="12">
                  <c:v>520</c:v>
                </c:pt>
                <c:pt idx="13">
                  <c:v>560</c:v>
                </c:pt>
                <c:pt idx="14">
                  <c:v>600</c:v>
                </c:pt>
                <c:pt idx="15">
                  <c:v>640</c:v>
                </c:pt>
              </c:numCache>
            </c:numRef>
          </c:cat>
          <c:val>
            <c:numRef>
              <c:f>'SF-Häcksler'!$F$18:$U$18</c:f>
              <c:numCache>
                <c:formatCode>#,##0\ </c:formatCode>
                <c:ptCount val="16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  <c:pt idx="7">
                  <c:v>1250</c:v>
                </c:pt>
                <c:pt idx="8">
                  <c:v>1250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1250</c:v>
                </c:pt>
                <c:pt idx="13">
                  <c:v>1250</c:v>
                </c:pt>
                <c:pt idx="14">
                  <c:v>1250</c:v>
                </c:pt>
                <c:pt idx="15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11-40C9-B94A-CC7DBC7DCD9C}"/>
            </c:ext>
          </c:extLst>
        </c:ser>
        <c:ser>
          <c:idx val="3"/>
          <c:order val="4"/>
          <c:tx>
            <c:strRef>
              <c:f>'SF-Häcksler'!$B$20</c:f>
              <c:strCache>
                <c:ptCount val="1"/>
                <c:pt idx="0">
                  <c:v>Unterbringung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'SF-Häcksler'!$F$9:$U$9</c:f>
              <c:numCache>
                <c:formatCode>General_)</c:formatCode>
                <c:ptCount val="16"/>
                <c:pt idx="0">
                  <c:v>40</c:v>
                </c:pt>
                <c:pt idx="1">
                  <c:v>80</c:v>
                </c:pt>
                <c:pt idx="2">
                  <c:v>120</c:v>
                </c:pt>
                <c:pt idx="3">
                  <c:v>160</c:v>
                </c:pt>
                <c:pt idx="4">
                  <c:v>200</c:v>
                </c:pt>
                <c:pt idx="5">
                  <c:v>240</c:v>
                </c:pt>
                <c:pt idx="6">
                  <c:v>280</c:v>
                </c:pt>
                <c:pt idx="7">
                  <c:v>320</c:v>
                </c:pt>
                <c:pt idx="8">
                  <c:v>360</c:v>
                </c:pt>
                <c:pt idx="9">
                  <c:v>400</c:v>
                </c:pt>
                <c:pt idx="10">
                  <c:v>440</c:v>
                </c:pt>
                <c:pt idx="11">
                  <c:v>480</c:v>
                </c:pt>
                <c:pt idx="12">
                  <c:v>520</c:v>
                </c:pt>
                <c:pt idx="13">
                  <c:v>560</c:v>
                </c:pt>
                <c:pt idx="14">
                  <c:v>600</c:v>
                </c:pt>
                <c:pt idx="15">
                  <c:v>640</c:v>
                </c:pt>
              </c:numCache>
            </c:numRef>
          </c:cat>
          <c:val>
            <c:numRef>
              <c:f>'SF-Häcksler'!$F$20:$U$20</c:f>
              <c:numCache>
                <c:formatCode>#,##0\ </c:formatCode>
                <c:ptCount val="16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500</c:v>
                </c:pt>
                <c:pt idx="13">
                  <c:v>500</c:v>
                </c:pt>
                <c:pt idx="14">
                  <c:v>500</c:v>
                </c:pt>
                <c:pt idx="15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11-40C9-B94A-CC7DBC7DCD9C}"/>
            </c:ext>
          </c:extLst>
        </c:ser>
        <c:ser>
          <c:idx val="5"/>
          <c:order val="5"/>
          <c:tx>
            <c:strRef>
              <c:f>'SF-Häcksler'!$B$27</c:f>
              <c:strCache>
                <c:ptCount val="1"/>
                <c:pt idx="0">
                  <c:v>Reparaturkosten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'SF-Häcksler'!$F$9:$U$9</c:f>
              <c:numCache>
                <c:formatCode>General_)</c:formatCode>
                <c:ptCount val="16"/>
                <c:pt idx="0">
                  <c:v>40</c:v>
                </c:pt>
                <c:pt idx="1">
                  <c:v>80</c:v>
                </c:pt>
                <c:pt idx="2">
                  <c:v>120</c:v>
                </c:pt>
                <c:pt idx="3">
                  <c:v>160</c:v>
                </c:pt>
                <c:pt idx="4">
                  <c:v>200</c:v>
                </c:pt>
                <c:pt idx="5">
                  <c:v>240</c:v>
                </c:pt>
                <c:pt idx="6">
                  <c:v>280</c:v>
                </c:pt>
                <c:pt idx="7">
                  <c:v>320</c:v>
                </c:pt>
                <c:pt idx="8">
                  <c:v>360</c:v>
                </c:pt>
                <c:pt idx="9">
                  <c:v>400</c:v>
                </c:pt>
                <c:pt idx="10">
                  <c:v>440</c:v>
                </c:pt>
                <c:pt idx="11">
                  <c:v>480</c:v>
                </c:pt>
                <c:pt idx="12">
                  <c:v>520</c:v>
                </c:pt>
                <c:pt idx="13">
                  <c:v>560</c:v>
                </c:pt>
                <c:pt idx="14">
                  <c:v>600</c:v>
                </c:pt>
                <c:pt idx="15">
                  <c:v>640</c:v>
                </c:pt>
              </c:numCache>
            </c:numRef>
          </c:cat>
          <c:val>
            <c:numRef>
              <c:f>'SF-Häcksler'!$F$28:$U$28</c:f>
              <c:numCache>
                <c:formatCode>#,##0\ </c:formatCode>
                <c:ptCount val="16"/>
                <c:pt idx="0">
                  <c:v>268.52684533704752</c:v>
                </c:pt>
                <c:pt idx="1">
                  <c:v>759.50861307383036</c:v>
                </c:pt>
                <c:pt idx="2">
                  <c:v>1395.3064179598687</c:v>
                </c:pt>
                <c:pt idx="3">
                  <c:v>2148.2147626963801</c:v>
                </c:pt>
                <c:pt idx="4">
                  <c:v>3002.221399786054</c:v>
                </c:pt>
                <c:pt idx="5">
                  <c:v>3946.5225198901371</c:v>
                </c:pt>
                <c:pt idx="6">
                  <c:v>4973.1867717457244</c:v>
                </c:pt>
                <c:pt idx="7">
                  <c:v>6076.0689045906429</c:v>
                </c:pt>
                <c:pt idx="8">
                  <c:v>7250.2248241002844</c:v>
                </c:pt>
                <c:pt idx="9">
                  <c:v>8491.5644416483501</c:v>
                </c:pt>
                <c:pt idx="10">
                  <c:v>9796.6307133286027</c:v>
                </c:pt>
                <c:pt idx="11">
                  <c:v>11162.451343678949</c:v>
                </c:pt>
                <c:pt idx="12">
                  <c:v>12586.435026117073</c:v>
                </c:pt>
                <c:pt idx="13">
                  <c:v>14066.296361634548</c:v>
                </c:pt>
                <c:pt idx="14">
                  <c:v>15600</c:v>
                </c:pt>
                <c:pt idx="15">
                  <c:v>16640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11-40C9-B94A-CC7DBC7DCD9C}"/>
            </c:ext>
          </c:extLst>
        </c:ser>
        <c:ser>
          <c:idx val="6"/>
          <c:order val="6"/>
          <c:tx>
            <c:strRef>
              <c:f>'SF-Häcksler'!$B$29</c:f>
              <c:strCache>
                <c:ptCount val="1"/>
                <c:pt idx="0">
                  <c:v>Betriebsstoffkosten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'SF-Häcksler'!$F$9:$U$9</c:f>
              <c:numCache>
                <c:formatCode>General_)</c:formatCode>
                <c:ptCount val="16"/>
                <c:pt idx="0">
                  <c:v>40</c:v>
                </c:pt>
                <c:pt idx="1">
                  <c:v>80</c:v>
                </c:pt>
                <c:pt idx="2">
                  <c:v>120</c:v>
                </c:pt>
                <c:pt idx="3">
                  <c:v>160</c:v>
                </c:pt>
                <c:pt idx="4">
                  <c:v>200</c:v>
                </c:pt>
                <c:pt idx="5">
                  <c:v>240</c:v>
                </c:pt>
                <c:pt idx="6">
                  <c:v>280</c:v>
                </c:pt>
                <c:pt idx="7">
                  <c:v>320</c:v>
                </c:pt>
                <c:pt idx="8">
                  <c:v>360</c:v>
                </c:pt>
                <c:pt idx="9">
                  <c:v>400</c:v>
                </c:pt>
                <c:pt idx="10">
                  <c:v>440</c:v>
                </c:pt>
                <c:pt idx="11">
                  <c:v>480</c:v>
                </c:pt>
                <c:pt idx="12">
                  <c:v>520</c:v>
                </c:pt>
                <c:pt idx="13">
                  <c:v>560</c:v>
                </c:pt>
                <c:pt idx="14">
                  <c:v>600</c:v>
                </c:pt>
                <c:pt idx="15">
                  <c:v>640</c:v>
                </c:pt>
              </c:numCache>
            </c:numRef>
          </c:cat>
          <c:val>
            <c:numRef>
              <c:f>'SF-Häcksler'!$F$30:$U$30</c:f>
              <c:numCache>
                <c:formatCode>#,##0\ </c:formatCode>
                <c:ptCount val="16"/>
                <c:pt idx="0">
                  <c:v>564.40000000000009</c:v>
                </c:pt>
                <c:pt idx="1">
                  <c:v>1128.8000000000002</c:v>
                </c:pt>
                <c:pt idx="2">
                  <c:v>1693.2</c:v>
                </c:pt>
                <c:pt idx="3">
                  <c:v>2257.6000000000004</c:v>
                </c:pt>
                <c:pt idx="4">
                  <c:v>2822.0000000000005</c:v>
                </c:pt>
                <c:pt idx="5">
                  <c:v>3386.4</c:v>
                </c:pt>
                <c:pt idx="6">
                  <c:v>3950.8</c:v>
                </c:pt>
                <c:pt idx="7">
                  <c:v>4515.2000000000007</c:v>
                </c:pt>
                <c:pt idx="8">
                  <c:v>5079.6000000000004</c:v>
                </c:pt>
                <c:pt idx="9">
                  <c:v>5644.0000000000009</c:v>
                </c:pt>
                <c:pt idx="10">
                  <c:v>6208.4000000000005</c:v>
                </c:pt>
                <c:pt idx="11">
                  <c:v>6772.8</c:v>
                </c:pt>
                <c:pt idx="12">
                  <c:v>7337.2000000000007</c:v>
                </c:pt>
                <c:pt idx="13">
                  <c:v>7901.6</c:v>
                </c:pt>
                <c:pt idx="14">
                  <c:v>8466</c:v>
                </c:pt>
                <c:pt idx="15">
                  <c:v>9030.4000000000015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11-40C9-B94A-CC7DBC7DC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58408960"/>
        <c:axId val="358410880"/>
      </c:barChart>
      <c:catAx>
        <c:axId val="3584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Leistung je Jahr</a:t>
                </a:r>
              </a:p>
            </c:rich>
          </c:tx>
          <c:layout>
            <c:manualLayout>
              <c:xMode val="edge"/>
              <c:yMode val="edge"/>
              <c:x val="0.49546285437724541"/>
              <c:y val="0.930558119890186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8410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841088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Gesamtkosten je Jahr</a:t>
                </a:r>
              </a:p>
            </c:rich>
          </c:tx>
          <c:layout>
            <c:manualLayout>
              <c:xMode val="edge"/>
              <c:yMode val="edge"/>
              <c:x val="2.3593380614657211E-2"/>
              <c:y val="0.3166675717259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84089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439716312056736"/>
          <c:y val="5.2873563218390804E-2"/>
          <c:w val="0.20567375886524825"/>
          <c:h val="0.434483060307116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00573664784098"/>
          <c:y val="4.1666779695040408E-2"/>
          <c:w val="0.83971005469827009"/>
          <c:h val="0.84444673515281887"/>
        </c:manualLayout>
      </c:layout>
      <c:lineChart>
        <c:grouping val="standard"/>
        <c:varyColors val="0"/>
        <c:ser>
          <c:idx val="0"/>
          <c:order val="0"/>
          <c:tx>
            <c:strRef>
              <c:f>'SF-Häcksler'!$B$22</c:f>
              <c:strCache>
                <c:ptCount val="1"/>
                <c:pt idx="0">
                  <c:v>Feste Kosten insgesamt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'SF-Häcksler'!$F$9:$U$9</c:f>
              <c:numCache>
                <c:formatCode>General_)</c:formatCode>
                <c:ptCount val="16"/>
                <c:pt idx="0">
                  <c:v>40</c:v>
                </c:pt>
                <c:pt idx="1">
                  <c:v>80</c:v>
                </c:pt>
                <c:pt idx="2">
                  <c:v>120</c:v>
                </c:pt>
                <c:pt idx="3">
                  <c:v>160</c:v>
                </c:pt>
                <c:pt idx="4">
                  <c:v>200</c:v>
                </c:pt>
                <c:pt idx="5">
                  <c:v>240</c:v>
                </c:pt>
                <c:pt idx="6">
                  <c:v>280</c:v>
                </c:pt>
                <c:pt idx="7">
                  <c:v>320</c:v>
                </c:pt>
                <c:pt idx="8">
                  <c:v>360</c:v>
                </c:pt>
                <c:pt idx="9">
                  <c:v>400</c:v>
                </c:pt>
                <c:pt idx="10">
                  <c:v>440</c:v>
                </c:pt>
                <c:pt idx="11">
                  <c:v>480</c:v>
                </c:pt>
                <c:pt idx="12">
                  <c:v>520</c:v>
                </c:pt>
                <c:pt idx="13">
                  <c:v>560</c:v>
                </c:pt>
                <c:pt idx="14">
                  <c:v>600</c:v>
                </c:pt>
                <c:pt idx="15">
                  <c:v>640</c:v>
                </c:pt>
              </c:numCache>
            </c:numRef>
          </c:cat>
          <c:val>
            <c:numRef>
              <c:f>'SF-Häcksler'!$F$22:$U$22</c:f>
              <c:numCache>
                <c:formatCode>#,##0\ </c:formatCode>
                <c:ptCount val="16"/>
                <c:pt idx="0">
                  <c:v>55000</c:v>
                </c:pt>
                <c:pt idx="1">
                  <c:v>55000</c:v>
                </c:pt>
                <c:pt idx="2">
                  <c:v>55000</c:v>
                </c:pt>
                <c:pt idx="3">
                  <c:v>55000</c:v>
                </c:pt>
                <c:pt idx="4">
                  <c:v>55000</c:v>
                </c:pt>
                <c:pt idx="5">
                  <c:v>55000</c:v>
                </c:pt>
                <c:pt idx="6">
                  <c:v>55000</c:v>
                </c:pt>
                <c:pt idx="7">
                  <c:v>55000</c:v>
                </c:pt>
                <c:pt idx="8">
                  <c:v>55000</c:v>
                </c:pt>
                <c:pt idx="9">
                  <c:v>55000</c:v>
                </c:pt>
                <c:pt idx="10">
                  <c:v>55000</c:v>
                </c:pt>
                <c:pt idx="11">
                  <c:v>55000</c:v>
                </c:pt>
                <c:pt idx="12">
                  <c:v>55000</c:v>
                </c:pt>
                <c:pt idx="13">
                  <c:v>55000</c:v>
                </c:pt>
                <c:pt idx="14">
                  <c:v>55000</c:v>
                </c:pt>
                <c:pt idx="15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88-4E50-9E56-D07904AD0142}"/>
            </c:ext>
          </c:extLst>
        </c:ser>
        <c:ser>
          <c:idx val="1"/>
          <c:order val="1"/>
          <c:tx>
            <c:strRef>
              <c:f>'SF-Häcksler'!$B$31</c:f>
              <c:strCache>
                <c:ptCount val="1"/>
                <c:pt idx="0">
                  <c:v>Variable Kosten insgesamt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'SF-Häcksler'!$F$9:$U$9</c:f>
              <c:numCache>
                <c:formatCode>General_)</c:formatCode>
                <c:ptCount val="16"/>
                <c:pt idx="0">
                  <c:v>40</c:v>
                </c:pt>
                <c:pt idx="1">
                  <c:v>80</c:v>
                </c:pt>
                <c:pt idx="2">
                  <c:v>120</c:v>
                </c:pt>
                <c:pt idx="3">
                  <c:v>160</c:v>
                </c:pt>
                <c:pt idx="4">
                  <c:v>200</c:v>
                </c:pt>
                <c:pt idx="5">
                  <c:v>240</c:v>
                </c:pt>
                <c:pt idx="6">
                  <c:v>280</c:v>
                </c:pt>
                <c:pt idx="7">
                  <c:v>320</c:v>
                </c:pt>
                <c:pt idx="8">
                  <c:v>360</c:v>
                </c:pt>
                <c:pt idx="9">
                  <c:v>400</c:v>
                </c:pt>
                <c:pt idx="10">
                  <c:v>440</c:v>
                </c:pt>
                <c:pt idx="11">
                  <c:v>480</c:v>
                </c:pt>
                <c:pt idx="12">
                  <c:v>520</c:v>
                </c:pt>
                <c:pt idx="13">
                  <c:v>560</c:v>
                </c:pt>
                <c:pt idx="14">
                  <c:v>600</c:v>
                </c:pt>
                <c:pt idx="15">
                  <c:v>640</c:v>
                </c:pt>
              </c:numCache>
            </c:numRef>
          </c:cat>
          <c:val>
            <c:numRef>
              <c:f>'SF-Häcksler'!$F$32:$U$32</c:f>
              <c:numCache>
                <c:formatCode>#,##0\ </c:formatCode>
                <c:ptCount val="16"/>
                <c:pt idx="0">
                  <c:v>832.92684533704755</c:v>
                </c:pt>
                <c:pt idx="1">
                  <c:v>1888.3086130738307</c:v>
                </c:pt>
                <c:pt idx="2">
                  <c:v>3088.5064179598685</c:v>
                </c:pt>
                <c:pt idx="3">
                  <c:v>4405.8147626963801</c:v>
                </c:pt>
                <c:pt idx="4">
                  <c:v>5824.2213997860545</c:v>
                </c:pt>
                <c:pt idx="5">
                  <c:v>7332.9225198901368</c:v>
                </c:pt>
                <c:pt idx="6">
                  <c:v>8923.9867717457237</c:v>
                </c:pt>
                <c:pt idx="7">
                  <c:v>10591.268904590645</c:v>
                </c:pt>
                <c:pt idx="8">
                  <c:v>12329.824824100284</c:v>
                </c:pt>
                <c:pt idx="9">
                  <c:v>14135.564441648352</c:v>
                </c:pt>
                <c:pt idx="10">
                  <c:v>16005.030713328604</c:v>
                </c:pt>
                <c:pt idx="11">
                  <c:v>17935.251343678949</c:v>
                </c:pt>
                <c:pt idx="12">
                  <c:v>19923.635026117074</c:v>
                </c:pt>
                <c:pt idx="13">
                  <c:v>21967.89636163455</c:v>
                </c:pt>
                <c:pt idx="14">
                  <c:v>24066</c:v>
                </c:pt>
                <c:pt idx="15">
                  <c:v>73670.399999999994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88-4E50-9E56-D07904AD0142}"/>
            </c:ext>
          </c:extLst>
        </c:ser>
        <c:ser>
          <c:idx val="2"/>
          <c:order val="2"/>
          <c:tx>
            <c:strRef>
              <c:f>'SF-Häcksler'!$B$34</c:f>
              <c:strCache>
                <c:ptCount val="1"/>
                <c:pt idx="0">
                  <c:v>  Gesamtkosten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'SF-Häcksler'!$F$9:$U$9</c:f>
              <c:numCache>
                <c:formatCode>General_)</c:formatCode>
                <c:ptCount val="16"/>
                <c:pt idx="0">
                  <c:v>40</c:v>
                </c:pt>
                <c:pt idx="1">
                  <c:v>80</c:v>
                </c:pt>
                <c:pt idx="2">
                  <c:v>120</c:v>
                </c:pt>
                <c:pt idx="3">
                  <c:v>160</c:v>
                </c:pt>
                <c:pt idx="4">
                  <c:v>200</c:v>
                </c:pt>
                <c:pt idx="5">
                  <c:v>240</c:v>
                </c:pt>
                <c:pt idx="6">
                  <c:v>280</c:v>
                </c:pt>
                <c:pt idx="7">
                  <c:v>320</c:v>
                </c:pt>
                <c:pt idx="8">
                  <c:v>360</c:v>
                </c:pt>
                <c:pt idx="9">
                  <c:v>400</c:v>
                </c:pt>
                <c:pt idx="10">
                  <c:v>440</c:v>
                </c:pt>
                <c:pt idx="11">
                  <c:v>480</c:v>
                </c:pt>
                <c:pt idx="12">
                  <c:v>520</c:v>
                </c:pt>
                <c:pt idx="13">
                  <c:v>560</c:v>
                </c:pt>
                <c:pt idx="14">
                  <c:v>600</c:v>
                </c:pt>
                <c:pt idx="15">
                  <c:v>640</c:v>
                </c:pt>
              </c:numCache>
            </c:numRef>
          </c:cat>
          <c:val>
            <c:numRef>
              <c:f>'SF-Häcksler'!$F$34:$U$34</c:f>
              <c:numCache>
                <c:formatCode>#,##0\ </c:formatCode>
                <c:ptCount val="16"/>
                <c:pt idx="0">
                  <c:v>55832.926845337046</c:v>
                </c:pt>
                <c:pt idx="1">
                  <c:v>56888.30861307383</c:v>
                </c:pt>
                <c:pt idx="2">
                  <c:v>58088.50641795987</c:v>
                </c:pt>
                <c:pt idx="3">
                  <c:v>59405.814762696376</c:v>
                </c:pt>
                <c:pt idx="4">
                  <c:v>60824.221399786053</c:v>
                </c:pt>
                <c:pt idx="5">
                  <c:v>62332.92251989014</c:v>
                </c:pt>
                <c:pt idx="6">
                  <c:v>63923.986771745724</c:v>
                </c:pt>
                <c:pt idx="7">
                  <c:v>65591.268904590645</c:v>
                </c:pt>
                <c:pt idx="8">
                  <c:v>67329.824824100288</c:v>
                </c:pt>
                <c:pt idx="9">
                  <c:v>69135.564441648356</c:v>
                </c:pt>
                <c:pt idx="10">
                  <c:v>71005.030713328597</c:v>
                </c:pt>
                <c:pt idx="11">
                  <c:v>72935.251343678945</c:v>
                </c:pt>
                <c:pt idx="12">
                  <c:v>74923.635026117074</c:v>
                </c:pt>
                <c:pt idx="13">
                  <c:v>76967.896361634543</c:v>
                </c:pt>
                <c:pt idx="14">
                  <c:v>79066</c:v>
                </c:pt>
                <c:pt idx="15">
                  <c:v>83670.399999999994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88-4E50-9E56-D07904AD0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457728"/>
        <c:axId val="358460032"/>
      </c:lineChart>
      <c:catAx>
        <c:axId val="358457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Leistung je Jahr</a:t>
                </a:r>
              </a:p>
            </c:rich>
          </c:tx>
          <c:layout>
            <c:manualLayout>
              <c:xMode val="edge"/>
              <c:yMode val="edge"/>
              <c:x val="0.49909015112427185"/>
              <c:y val="0.930558119890186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846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84600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Gesamtkosten je Jahr</a:t>
                </a:r>
              </a:p>
            </c:rich>
          </c:tx>
          <c:layout>
            <c:manualLayout>
              <c:xMode val="edge"/>
              <c:yMode val="edge"/>
              <c:x val="9.1074619946011019E-3"/>
              <c:y val="0.32222312728150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84577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652459040910485"/>
          <c:y val="7.8160919540229884E-2"/>
          <c:w val="0.40313465090367973"/>
          <c:h val="0.193103448275862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00382443189399"/>
          <c:y val="4.1666779695040408E-2"/>
          <c:w val="0.89071196691421706"/>
          <c:h val="0.84444673515281887"/>
        </c:manualLayout>
      </c:layout>
      <c:lineChart>
        <c:grouping val="standard"/>
        <c:varyColors val="0"/>
        <c:ser>
          <c:idx val="0"/>
          <c:order val="0"/>
          <c:tx>
            <c:strRef>
              <c:f>'SF-Häcksler'!$B$22</c:f>
              <c:strCache>
                <c:ptCount val="1"/>
                <c:pt idx="0">
                  <c:v>Feste Kosten insgesamt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'SF-Häcksler'!$F$9:$U$9</c:f>
              <c:numCache>
                <c:formatCode>General_)</c:formatCode>
                <c:ptCount val="16"/>
                <c:pt idx="0">
                  <c:v>40</c:v>
                </c:pt>
                <c:pt idx="1">
                  <c:v>80</c:v>
                </c:pt>
                <c:pt idx="2">
                  <c:v>120</c:v>
                </c:pt>
                <c:pt idx="3">
                  <c:v>160</c:v>
                </c:pt>
                <c:pt idx="4">
                  <c:v>200</c:v>
                </c:pt>
                <c:pt idx="5">
                  <c:v>240</c:v>
                </c:pt>
                <c:pt idx="6">
                  <c:v>280</c:v>
                </c:pt>
                <c:pt idx="7">
                  <c:v>320</c:v>
                </c:pt>
                <c:pt idx="8">
                  <c:v>360</c:v>
                </c:pt>
                <c:pt idx="9">
                  <c:v>400</c:v>
                </c:pt>
                <c:pt idx="10">
                  <c:v>440</c:v>
                </c:pt>
                <c:pt idx="11">
                  <c:v>480</c:v>
                </c:pt>
                <c:pt idx="12">
                  <c:v>520</c:v>
                </c:pt>
                <c:pt idx="13">
                  <c:v>560</c:v>
                </c:pt>
                <c:pt idx="14">
                  <c:v>600</c:v>
                </c:pt>
                <c:pt idx="15">
                  <c:v>640</c:v>
                </c:pt>
              </c:numCache>
            </c:numRef>
          </c:cat>
          <c:val>
            <c:numRef>
              <c:f>'SF-Häcksler'!$F$23:$U$23</c:f>
              <c:numCache>
                <c:formatCode>#,##0.00\ </c:formatCode>
                <c:ptCount val="16"/>
                <c:pt idx="0">
                  <c:v>1375</c:v>
                </c:pt>
                <c:pt idx="1">
                  <c:v>687.5</c:v>
                </c:pt>
                <c:pt idx="2">
                  <c:v>458.33333333333337</c:v>
                </c:pt>
                <c:pt idx="3">
                  <c:v>343.75</c:v>
                </c:pt>
                <c:pt idx="4">
                  <c:v>275</c:v>
                </c:pt>
                <c:pt idx="5">
                  <c:v>229.16666666666669</c:v>
                </c:pt>
                <c:pt idx="6">
                  <c:v>196.42857142857144</c:v>
                </c:pt>
                <c:pt idx="7">
                  <c:v>171.875</c:v>
                </c:pt>
                <c:pt idx="8">
                  <c:v>152.77777777777777</c:v>
                </c:pt>
                <c:pt idx="9">
                  <c:v>137.5</c:v>
                </c:pt>
                <c:pt idx="10">
                  <c:v>125</c:v>
                </c:pt>
                <c:pt idx="11">
                  <c:v>114.58333333333334</c:v>
                </c:pt>
                <c:pt idx="12">
                  <c:v>105.76923076923077</c:v>
                </c:pt>
                <c:pt idx="13">
                  <c:v>98.214285714285722</c:v>
                </c:pt>
                <c:pt idx="14">
                  <c:v>91.666666666666657</c:v>
                </c:pt>
                <c:pt idx="15">
                  <c:v>15.625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A-47EA-A701-4989598E8650}"/>
            </c:ext>
          </c:extLst>
        </c:ser>
        <c:ser>
          <c:idx val="1"/>
          <c:order val="1"/>
          <c:tx>
            <c:strRef>
              <c:f>'SF-Häcksler'!$B$31</c:f>
              <c:strCache>
                <c:ptCount val="1"/>
                <c:pt idx="0">
                  <c:v>Variable Kosten insgesamt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'SF-Häcksler'!$F$9:$U$9</c:f>
              <c:numCache>
                <c:formatCode>General_)</c:formatCode>
                <c:ptCount val="16"/>
                <c:pt idx="0">
                  <c:v>40</c:v>
                </c:pt>
                <c:pt idx="1">
                  <c:v>80</c:v>
                </c:pt>
                <c:pt idx="2">
                  <c:v>120</c:v>
                </c:pt>
                <c:pt idx="3">
                  <c:v>160</c:v>
                </c:pt>
                <c:pt idx="4">
                  <c:v>200</c:v>
                </c:pt>
                <c:pt idx="5">
                  <c:v>240</c:v>
                </c:pt>
                <c:pt idx="6">
                  <c:v>280</c:v>
                </c:pt>
                <c:pt idx="7">
                  <c:v>320</c:v>
                </c:pt>
                <c:pt idx="8">
                  <c:v>360</c:v>
                </c:pt>
                <c:pt idx="9">
                  <c:v>400</c:v>
                </c:pt>
                <c:pt idx="10">
                  <c:v>440</c:v>
                </c:pt>
                <c:pt idx="11">
                  <c:v>480</c:v>
                </c:pt>
                <c:pt idx="12">
                  <c:v>520</c:v>
                </c:pt>
                <c:pt idx="13">
                  <c:v>560</c:v>
                </c:pt>
                <c:pt idx="14">
                  <c:v>600</c:v>
                </c:pt>
                <c:pt idx="15">
                  <c:v>640</c:v>
                </c:pt>
              </c:numCache>
            </c:numRef>
          </c:cat>
          <c:val>
            <c:numRef>
              <c:f>'SF-Häcksler'!$F$31:$U$31</c:f>
              <c:numCache>
                <c:formatCode>#,##0.00\ </c:formatCode>
                <c:ptCount val="16"/>
                <c:pt idx="0">
                  <c:v>20.82317113342619</c:v>
                </c:pt>
                <c:pt idx="1">
                  <c:v>23.603857663422879</c:v>
                </c:pt>
                <c:pt idx="2">
                  <c:v>25.737553482998905</c:v>
                </c:pt>
                <c:pt idx="3">
                  <c:v>27.53634226685238</c:v>
                </c:pt>
                <c:pt idx="4">
                  <c:v>29.121106998930273</c:v>
                </c:pt>
                <c:pt idx="5">
                  <c:v>30.553843832875572</c:v>
                </c:pt>
                <c:pt idx="6">
                  <c:v>31.8713813276633</c:v>
                </c:pt>
                <c:pt idx="7">
                  <c:v>33.097715326845758</c:v>
                </c:pt>
                <c:pt idx="8">
                  <c:v>34.249513400278566</c:v>
                </c:pt>
                <c:pt idx="9">
                  <c:v>35.338911104120875</c:v>
                </c:pt>
                <c:pt idx="10">
                  <c:v>36.375069803019557</c:v>
                </c:pt>
                <c:pt idx="11">
                  <c:v>37.365106965997811</c:v>
                </c:pt>
                <c:pt idx="12">
                  <c:v>38.314682742532831</c:v>
                </c:pt>
                <c:pt idx="13">
                  <c:v>39.228386360061691</c:v>
                </c:pt>
                <c:pt idx="14">
                  <c:v>40.11</c:v>
                </c:pt>
                <c:pt idx="15">
                  <c:v>115.11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A-47EA-A701-4989598E8650}"/>
            </c:ext>
          </c:extLst>
        </c:ser>
        <c:ser>
          <c:idx val="2"/>
          <c:order val="2"/>
          <c:tx>
            <c:strRef>
              <c:f>'SF-Häcksler'!$B$35</c:f>
              <c:strCache>
                <c:ptCount val="1"/>
                <c:pt idx="0">
                  <c:v>  Gesamtkosten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'SF-Häcksler'!$F$9:$U$9</c:f>
              <c:numCache>
                <c:formatCode>General_)</c:formatCode>
                <c:ptCount val="16"/>
                <c:pt idx="0">
                  <c:v>40</c:v>
                </c:pt>
                <c:pt idx="1">
                  <c:v>80</c:v>
                </c:pt>
                <c:pt idx="2">
                  <c:v>120</c:v>
                </c:pt>
                <c:pt idx="3">
                  <c:v>160</c:v>
                </c:pt>
                <c:pt idx="4">
                  <c:v>200</c:v>
                </c:pt>
                <c:pt idx="5">
                  <c:v>240</c:v>
                </c:pt>
                <c:pt idx="6">
                  <c:v>280</c:v>
                </c:pt>
                <c:pt idx="7">
                  <c:v>320</c:v>
                </c:pt>
                <c:pt idx="8">
                  <c:v>360</c:v>
                </c:pt>
                <c:pt idx="9">
                  <c:v>400</c:v>
                </c:pt>
                <c:pt idx="10">
                  <c:v>440</c:v>
                </c:pt>
                <c:pt idx="11">
                  <c:v>480</c:v>
                </c:pt>
                <c:pt idx="12">
                  <c:v>520</c:v>
                </c:pt>
                <c:pt idx="13">
                  <c:v>560</c:v>
                </c:pt>
                <c:pt idx="14">
                  <c:v>600</c:v>
                </c:pt>
                <c:pt idx="15">
                  <c:v>640</c:v>
                </c:pt>
              </c:numCache>
            </c:numRef>
          </c:cat>
          <c:val>
            <c:numRef>
              <c:f>'SF-Häcksler'!$F$35:$U$35</c:f>
              <c:numCache>
                <c:formatCode>#,##0.00\ </c:formatCode>
                <c:ptCount val="16"/>
                <c:pt idx="0">
                  <c:v>1395.8231711334263</c:v>
                </c:pt>
                <c:pt idx="1">
                  <c:v>711.1038576634229</c:v>
                </c:pt>
                <c:pt idx="2">
                  <c:v>484.07088681633229</c:v>
                </c:pt>
                <c:pt idx="3">
                  <c:v>371.28634226685239</c:v>
                </c:pt>
                <c:pt idx="4">
                  <c:v>304.12110699893026</c:v>
                </c:pt>
                <c:pt idx="5">
                  <c:v>259.72051049954223</c:v>
                </c:pt>
                <c:pt idx="6">
                  <c:v>228.29995275623475</c:v>
                </c:pt>
                <c:pt idx="7">
                  <c:v>204.97271532684576</c:v>
                </c:pt>
                <c:pt idx="8">
                  <c:v>187.02729117805634</c:v>
                </c:pt>
                <c:pt idx="9">
                  <c:v>172.83891110412088</c:v>
                </c:pt>
                <c:pt idx="10">
                  <c:v>161.37506980301956</c:v>
                </c:pt>
                <c:pt idx="11">
                  <c:v>151.94844029933114</c:v>
                </c:pt>
                <c:pt idx="12">
                  <c:v>144.0839135117636</c:v>
                </c:pt>
                <c:pt idx="13">
                  <c:v>137.4426720743474</c:v>
                </c:pt>
                <c:pt idx="14">
                  <c:v>131.77666666666664</c:v>
                </c:pt>
                <c:pt idx="15">
                  <c:v>130.73500000000001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A-47EA-A701-4989598E8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498304"/>
        <c:axId val="358500608"/>
      </c:lineChart>
      <c:catAx>
        <c:axId val="358498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Leistung je Jahr</a:t>
                </a:r>
              </a:p>
            </c:rich>
          </c:tx>
          <c:layout>
            <c:manualLayout>
              <c:xMode val="edge"/>
              <c:yMode val="edge"/>
              <c:x val="0.47358905243378668"/>
              <c:y val="0.930558119890186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8500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85006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Kosten je Leistungseinheit</a:t>
                </a:r>
              </a:p>
            </c:rich>
          </c:tx>
          <c:layout>
            <c:manualLayout>
              <c:xMode val="edge"/>
              <c:yMode val="edge"/>
              <c:x val="9.1074997017418276E-3"/>
              <c:y val="0.31944519866051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84983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9517045454545459"/>
          <c:y val="9.8850574712643677E-2"/>
          <c:w val="0.34517045454545459"/>
          <c:h val="0.167816091954022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23436633344665E-2"/>
          <c:y val="7.0028202764472719E-2"/>
          <c:w val="0.90316737802493963"/>
          <c:h val="0.81512828017846251"/>
        </c:manualLayout>
      </c:layout>
      <c:lineChart>
        <c:grouping val="standard"/>
        <c:varyColors val="0"/>
        <c:ser>
          <c:idx val="0"/>
          <c:order val="0"/>
          <c:tx>
            <c:strRef>
              <c:f>'Progressive AfA'!$J$6</c:f>
              <c:strCache>
                <c:ptCount val="1"/>
                <c:pt idx="0">
                  <c:v>2,0%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'Progressive AfA'!$K$5:$U$5</c:f>
              <c:numCache>
                <c:formatCode>General_)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'Progressive AfA'!$K$6:$U$6</c:f>
              <c:numCache>
                <c:formatCode>0.00%</c:formatCode>
                <c:ptCount val="11"/>
                <c:pt idx="0">
                  <c:v>0.50659975434675864</c:v>
                </c:pt>
                <c:pt idx="1">
                  <c:v>0.51484217569620194</c:v>
                </c:pt>
                <c:pt idx="2">
                  <c:v>0.52306901173019327</c:v>
                </c:pt>
                <c:pt idx="3">
                  <c:v>0.53127229168049439</c:v>
                </c:pt>
                <c:pt idx="4">
                  <c:v>0.53944415468243823</c:v>
                </c:pt>
                <c:pt idx="5">
                  <c:v>0.54757688516465919</c:v>
                </c:pt>
                <c:pt idx="6">
                  <c:v>0.55566294677257599</c:v>
                </c:pt>
                <c:pt idx="7">
                  <c:v>0.56369501450475612</c:v>
                </c:pt>
                <c:pt idx="8">
                  <c:v>0.5716660047718235</c:v>
                </c:pt>
                <c:pt idx="9">
                  <c:v>0.57956910312238075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9D-455F-BA8E-029D25FD8018}"/>
            </c:ext>
          </c:extLst>
        </c:ser>
        <c:ser>
          <c:idx val="1"/>
          <c:order val="1"/>
          <c:tx>
            <c:strRef>
              <c:f>'Progressive AfA'!$J$7</c:f>
              <c:strCache>
                <c:ptCount val="1"/>
                <c:pt idx="0">
                  <c:v>3,0%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'Progressive AfA'!$K$5:$U$5</c:f>
              <c:numCache>
                <c:formatCode>General_)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'Progressive AfA'!$K$7:$U$7</c:f>
              <c:numCache>
                <c:formatCode>0.00%</c:formatCode>
                <c:ptCount val="11"/>
                <c:pt idx="0">
                  <c:v>0.509849205571556</c:v>
                </c:pt>
                <c:pt idx="1">
                  <c:v>0.52213656379271511</c:v>
                </c:pt>
                <c:pt idx="2">
                  <c:v>0.53437230611316777</c:v>
                </c:pt>
                <c:pt idx="3">
                  <c:v>0.54653039990029006</c:v>
                </c:pt>
                <c:pt idx="4">
                  <c:v>0.55858561022845532</c:v>
                </c:pt>
                <c:pt idx="5">
                  <c:v>0.57051374151352452</c:v>
                </c:pt>
                <c:pt idx="6">
                  <c:v>0.58229185642220582</c:v>
                </c:pt>
                <c:pt idx="7">
                  <c:v>0.59389846798253243</c:v>
                </c:pt>
                <c:pt idx="8">
                  <c:v>0.60531370178550414</c:v>
                </c:pt>
                <c:pt idx="9">
                  <c:v>0.61651942619854627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9D-455F-BA8E-029D25FD8018}"/>
            </c:ext>
          </c:extLst>
        </c:ser>
        <c:ser>
          <c:idx val="2"/>
          <c:order val="2"/>
          <c:tx>
            <c:strRef>
              <c:f>'Progressive AfA'!$J$8</c:f>
              <c:strCache>
                <c:ptCount val="1"/>
                <c:pt idx="0">
                  <c:v>4,0%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'Progressive AfA'!$K$5:$U$5</c:f>
              <c:numCache>
                <c:formatCode>General_)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'Progressive AfA'!$K$8:$U$8</c:f>
              <c:numCache>
                <c:formatCode>0.00%</c:formatCode>
                <c:ptCount val="11"/>
                <c:pt idx="0">
                  <c:v>0.51306486443820654</c:v>
                </c:pt>
                <c:pt idx="1">
                  <c:v>0.5293396438667386</c:v>
                </c:pt>
                <c:pt idx="2">
                  <c:v>0.54549453994468444</c:v>
                </c:pt>
                <c:pt idx="3">
                  <c:v>0.56147024591973538</c:v>
                </c:pt>
                <c:pt idx="4">
                  <c:v>0.57721064390515953</c:v>
                </c:pt>
                <c:pt idx="5">
                  <c:v>0.59266368871761288</c:v>
                </c:pt>
                <c:pt idx="6">
                  <c:v>0.60778214089522231</c:v>
                </c:pt>
                <c:pt idx="7">
                  <c:v>0.62252412986395633</c:v>
                </c:pt>
                <c:pt idx="8">
                  <c:v>0.63685353814184642</c:v>
                </c:pt>
                <c:pt idx="9">
                  <c:v>0.65074020709660607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9D-455F-BA8E-029D25FD8018}"/>
            </c:ext>
          </c:extLst>
        </c:ser>
        <c:ser>
          <c:idx val="3"/>
          <c:order val="3"/>
          <c:tx>
            <c:strRef>
              <c:f>'Progressive AfA'!$J$9</c:f>
              <c:strCache>
                <c:ptCount val="1"/>
                <c:pt idx="0">
                  <c:v>5,0%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'Progressive AfA'!$K$5:$U$5</c:f>
              <c:numCache>
                <c:formatCode>General_)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'Progressive AfA'!$K$9:$U$9</c:f>
              <c:numCache>
                <c:formatCode>0.00%</c:formatCode>
                <c:ptCount val="11"/>
                <c:pt idx="0">
                  <c:v>0.51624663547113592</c:v>
                </c:pt>
                <c:pt idx="1">
                  <c:v>0.53644681755375834</c:v>
                </c:pt>
                <c:pt idx="2">
                  <c:v>0.5564178926733323</c:v>
                </c:pt>
                <c:pt idx="3">
                  <c:v>0.57604927982269194</c:v>
                </c:pt>
                <c:pt idx="4">
                  <c:v>0.5952395634467238</c:v>
                </c:pt>
                <c:pt idx="5">
                  <c:v>0.61389874348922457</c:v>
                </c:pt>
                <c:pt idx="6">
                  <c:v>0.63194986282207966</c:v>
                </c:pt>
                <c:pt idx="7">
                  <c:v>0.64932997397141456</c:v>
                </c:pt>
                <c:pt idx="8">
                  <c:v>0.66599046058995048</c:v>
                </c:pt>
                <c:pt idx="9">
                  <c:v>0.68189677423012829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9D-455F-BA8E-029D25FD8018}"/>
            </c:ext>
          </c:extLst>
        </c:ser>
        <c:ser>
          <c:idx val="4"/>
          <c:order val="4"/>
          <c:tx>
            <c:strRef>
              <c:f>'Progressive AfA'!$J$10</c:f>
              <c:strCache>
                <c:ptCount val="1"/>
                <c:pt idx="0">
                  <c:v>6,0%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'Progressive AfA'!$K$5:$U$5</c:f>
              <c:numCache>
                <c:formatCode>General_)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'Progressive AfA'!$K$10:$U$10</c:f>
              <c:numCache>
                <c:formatCode>0.00%</c:formatCode>
                <c:ptCount val="11"/>
                <c:pt idx="0">
                  <c:v>0.51939445043318921</c:v>
                </c:pt>
                <c:pt idx="1">
                  <c:v>0.54345391243005758</c:v>
                </c:pt>
                <c:pt idx="2">
                  <c:v>0.56712652013509424</c:v>
                </c:pt>
                <c:pt idx="3">
                  <c:v>0.59023106312462592</c:v>
                </c:pt>
                <c:pt idx="4">
                  <c:v>0.61260766365823693</c:v>
                </c:pt>
                <c:pt idx="5">
                  <c:v>0.63412222833409504</c:v>
                </c:pt>
                <c:pt idx="6">
                  <c:v>0.65466901124454402</c:v>
                </c:pt>
                <c:pt idx="7">
                  <c:v>0.67417131578334166</c:v>
                </c:pt>
                <c:pt idx="8">
                  <c:v>0.69258054799637792</c:v>
                </c:pt>
                <c:pt idx="9">
                  <c:v>0.70987396035729067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9D-455F-BA8E-029D25FD8018}"/>
            </c:ext>
          </c:extLst>
        </c:ser>
        <c:ser>
          <c:idx val="5"/>
          <c:order val="5"/>
          <c:tx>
            <c:strRef>
              <c:f>'Progressive AfA'!$J$11</c:f>
              <c:strCache>
                <c:ptCount val="1"/>
                <c:pt idx="0">
                  <c:v>7,0%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'Progressive AfA'!$K$5:$U$5</c:f>
              <c:numCache>
                <c:formatCode>General_)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'Progressive AfA'!$K$11:$U$11</c:f>
              <c:numCache>
                <c:formatCode>0.00%</c:formatCode>
                <c:ptCount val="11"/>
                <c:pt idx="0">
                  <c:v>0.52250826715921506</c:v>
                </c:pt>
                <c:pt idx="1">
                  <c:v>0.55035717827746378</c:v>
                </c:pt>
                <c:pt idx="2">
                  <c:v>0.57760658081705152</c:v>
                </c:pt>
                <c:pt idx="3">
                  <c:v>0.60398538426198189</c:v>
                </c:pt>
                <c:pt idx="4">
                  <c:v>0.62926534643771492</c:v>
                </c:pt>
                <c:pt idx="5">
                  <c:v>0.65326825130568411</c:v>
                </c:pt>
                <c:pt idx="6">
                  <c:v>0.67586848718853809</c:v>
                </c:pt>
                <c:pt idx="7">
                  <c:v>0.69699148255902876</c:v>
                </c:pt>
                <c:pt idx="8">
                  <c:v>0.71660891141833272</c:v>
                </c:pt>
                <c:pt idx="9">
                  <c:v>0.73473178626901581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9D-455F-BA8E-029D25FD8018}"/>
            </c:ext>
          </c:extLst>
        </c:ser>
        <c:ser>
          <c:idx val="6"/>
          <c:order val="6"/>
          <c:tx>
            <c:strRef>
              <c:f>'Progressive AfA'!$J$12</c:f>
              <c:strCache>
                <c:ptCount val="1"/>
                <c:pt idx="0">
                  <c:v>8,0%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'Progressive AfA'!$K$5:$U$5</c:f>
              <c:numCache>
                <c:formatCode>General_)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'Progressive AfA'!$K$12:$U$12</c:f>
              <c:numCache>
                <c:formatCode>0.00%</c:formatCode>
                <c:ptCount val="11"/>
                <c:pt idx="0">
                  <c:v>0.52558806840454786</c:v>
                </c:pt>
                <c:pt idx="1">
                  <c:v>0.55715328064858449</c:v>
                </c:pt>
                <c:pt idx="2">
                  <c:v>0.58784622971898481</c:v>
                </c:pt>
                <c:pt idx="3">
                  <c:v>0.61728820027560272</c:v>
                </c:pt>
                <c:pt idx="4">
                  <c:v>0.64517763283615537</c:v>
                </c:pt>
                <c:pt idx="5">
                  <c:v>0.67129959742668088</c:v>
                </c:pt>
                <c:pt idx="6">
                  <c:v>0.69552578459159609</c:v>
                </c:pt>
                <c:pt idx="7">
                  <c:v>0.71780684756811319</c:v>
                </c:pt>
                <c:pt idx="8">
                  <c:v>0.73815972916146844</c:v>
                </c:pt>
                <c:pt idx="9">
                  <c:v>0.75665267354921184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9D-455F-BA8E-029D25FD8018}"/>
            </c:ext>
          </c:extLst>
        </c:ser>
        <c:ser>
          <c:idx val="7"/>
          <c:order val="7"/>
          <c:tx>
            <c:strRef>
              <c:f>'Progressive AfA'!$J$13</c:f>
              <c:strCache>
                <c:ptCount val="1"/>
                <c:pt idx="0">
                  <c:v>9,0%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'Progressive AfA'!$K$5:$U$5</c:f>
              <c:numCache>
                <c:formatCode>General_)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'Progressive AfA'!$K$13:$U$13</c:f>
              <c:numCache>
                <c:formatCode>0.00%</c:formatCode>
                <c:ptCount val="11"/>
                <c:pt idx="0">
                  <c:v>0.5286338607106017</c:v>
                </c:pt>
                <c:pt idx="1">
                  <c:v>0.56383929201044258</c:v>
                </c:pt>
                <c:pt idx="2">
                  <c:v>0.5978355831629526</c:v>
                </c:pt>
                <c:pt idx="3">
                  <c:v>0.63012142865851051</c:v>
                </c:pt>
                <c:pt idx="4">
                  <c:v>0.66032318930098122</c:v>
                </c:pt>
                <c:pt idx="5">
                  <c:v>0.68820449524254224</c:v>
                </c:pt>
                <c:pt idx="6">
                  <c:v>0.71365873814745928</c:v>
                </c:pt>
                <c:pt idx="7">
                  <c:v>0.73668953085199895</c:v>
                </c:pt>
                <c:pt idx="8">
                  <c:v>0.7573850997862468</c:v>
                </c:pt>
                <c:pt idx="9">
                  <c:v>0.77589180917869438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09D-455F-BA8E-029D25FD8018}"/>
            </c:ext>
          </c:extLst>
        </c:ser>
        <c:ser>
          <c:idx val="8"/>
          <c:order val="8"/>
          <c:tx>
            <c:strRef>
              <c:f>'Progressive AfA'!$J$14</c:f>
              <c:strCache>
                <c:ptCount val="1"/>
                <c:pt idx="0">
                  <c:v>10,0%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'Progressive AfA'!$K$5:$U$5</c:f>
              <c:numCache>
                <c:formatCode>General_)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'Progressive AfA'!$K$14:$U$14</c:f>
              <c:numCache>
                <c:formatCode>0.00%</c:formatCode>
                <c:ptCount val="11"/>
                <c:pt idx="0">
                  <c:v>0.53164567328954493</c:v>
                </c:pt>
                <c:pt idx="1">
                  <c:v>0.57041268075010554</c:v>
                </c:pt>
                <c:pt idx="2">
                  <c:v>0.60756665831911472</c:v>
                </c:pt>
                <c:pt idx="3">
                  <c:v>0.64247261688138824</c:v>
                </c:pt>
                <c:pt idx="4">
                  <c:v>0.67469300182712355</c:v>
                </c:pt>
                <c:pt idx="5">
                  <c:v>0.70399272502548926</c:v>
                </c:pt>
                <c:pt idx="6">
                  <c:v>0.73031657755455637</c:v>
                </c:pt>
                <c:pt idx="7">
                  <c:v>0.75375038453043275</c:v>
                </c:pt>
                <c:pt idx="8">
                  <c:v>0.77447721979724393</c:v>
                </c:pt>
                <c:pt idx="9">
                  <c:v>0.79273700045215889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9D-455F-BA8E-029D25FD8018}"/>
            </c:ext>
          </c:extLst>
        </c:ser>
        <c:ser>
          <c:idx val="9"/>
          <c:order val="9"/>
          <c:tx>
            <c:strRef>
              <c:f>'Progressive AfA'!$J$15</c:f>
              <c:strCache>
                <c:ptCount val="1"/>
                <c:pt idx="0">
                  <c:v>11,0%</c:v>
                </c:pt>
              </c:strCache>
            </c:strRef>
          </c:tx>
          <c:spPr>
            <a:ln w="12700">
              <a:solidFill>
                <a:srgbClr val="69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c:spPr>
          </c:marker>
          <c:cat>
            <c:numRef>
              <c:f>'Progressive AfA'!$K$5:$U$5</c:f>
              <c:numCache>
                <c:formatCode>General_)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'Progressive AfA'!$K$15:$U$15</c:f>
              <c:numCache>
                <c:formatCode>0.00%</c:formatCode>
                <c:ptCount val="11"/>
                <c:pt idx="0">
                  <c:v>0.53462355692980668</c:v>
                </c:pt>
                <c:pt idx="1">
                  <c:v>0.57687129832636641</c:v>
                </c:pt>
                <c:pt idx="2">
                  <c:v>0.61703329144603825</c:v>
                </c:pt>
                <c:pt idx="3">
                  <c:v>0.65433451841681545</c:v>
                </c:pt>
                <c:pt idx="4">
                  <c:v>0.68828882914384293</c:v>
                </c:pt>
                <c:pt idx="5">
                  <c:v>0.71869148219701917</c:v>
                </c:pt>
                <c:pt idx="6">
                  <c:v>0.74557124985077783</c:v>
                </c:pt>
                <c:pt idx="7">
                  <c:v>0.76912396193718202</c:v>
                </c:pt>
                <c:pt idx="8">
                  <c:v>0.78964612794156253</c:v>
                </c:pt>
                <c:pt idx="9">
                  <c:v>0.80747988717148989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09D-455F-BA8E-029D25FD8018}"/>
            </c:ext>
          </c:extLst>
        </c:ser>
        <c:ser>
          <c:idx val="10"/>
          <c:order val="10"/>
          <c:tx>
            <c:strRef>
              <c:f>'Progressive AfA'!$J$16</c:f>
              <c:strCache>
                <c:ptCount val="1"/>
                <c:pt idx="0">
                  <c:v>2,0%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'Progressive AfA'!$K$5:$U$5</c:f>
              <c:numCache>
                <c:formatCode>General_)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'Progressive AfA'!$K$16:$U$16</c:f>
              <c:numCache>
                <c:formatCode>General</c:formatCode>
                <c:ptCount val="11"/>
                <c:pt idx="9" formatCode="0.00%">
                  <c:v>0.57956910312238075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09D-455F-BA8E-029D25FD8018}"/>
            </c:ext>
          </c:extLst>
        </c:ser>
        <c:ser>
          <c:idx val="11"/>
          <c:order val="11"/>
          <c:tx>
            <c:strRef>
              <c:f>'Progressive AfA'!$J$17</c:f>
              <c:strCache>
                <c:ptCount val="1"/>
                <c:pt idx="0">
                  <c:v>3,0%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'Progressive AfA'!$K$5:$U$5</c:f>
              <c:numCache>
                <c:formatCode>General_)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'Progressive AfA'!$K$17:$U$17</c:f>
              <c:numCache>
                <c:formatCode>General</c:formatCode>
                <c:ptCount val="11"/>
                <c:pt idx="9" formatCode="0.00%">
                  <c:v>0.61651942619854627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09D-455F-BA8E-029D25FD8018}"/>
            </c:ext>
          </c:extLst>
        </c:ser>
        <c:ser>
          <c:idx val="12"/>
          <c:order val="12"/>
          <c:tx>
            <c:strRef>
              <c:f>'Progressive AfA'!$J$18</c:f>
              <c:strCache>
                <c:ptCount val="1"/>
                <c:pt idx="0">
                  <c:v>4,0%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'Progressive AfA'!$K$5:$U$5</c:f>
              <c:numCache>
                <c:formatCode>General_)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'Progressive AfA'!$K$18:$U$18</c:f>
              <c:numCache>
                <c:formatCode>General</c:formatCode>
                <c:ptCount val="11"/>
                <c:pt idx="9" formatCode="0.00%">
                  <c:v>0.65074020709660607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09D-455F-BA8E-029D25FD8018}"/>
            </c:ext>
          </c:extLst>
        </c:ser>
        <c:ser>
          <c:idx val="13"/>
          <c:order val="13"/>
          <c:tx>
            <c:strRef>
              <c:f>'Progressive AfA'!$J$19</c:f>
              <c:strCache>
                <c:ptCount val="1"/>
                <c:pt idx="0">
                  <c:v>5,0%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'Progressive AfA'!$K$5:$U$5</c:f>
              <c:numCache>
                <c:formatCode>General_)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'Progressive AfA'!$K$19:$U$19</c:f>
              <c:numCache>
                <c:formatCode>General</c:formatCode>
                <c:ptCount val="11"/>
                <c:pt idx="9" formatCode="0.00%">
                  <c:v>0.68189677423012829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09D-455F-BA8E-029D25FD8018}"/>
            </c:ext>
          </c:extLst>
        </c:ser>
        <c:ser>
          <c:idx val="14"/>
          <c:order val="14"/>
          <c:tx>
            <c:strRef>
              <c:f>'Progressive AfA'!$J$20</c:f>
              <c:strCache>
                <c:ptCount val="1"/>
                <c:pt idx="0">
                  <c:v>6,0%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'Progressive AfA'!$K$5:$U$5</c:f>
              <c:numCache>
                <c:formatCode>General_)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'Progressive AfA'!$K$20:$U$20</c:f>
              <c:numCache>
                <c:formatCode>General</c:formatCode>
                <c:ptCount val="11"/>
                <c:pt idx="9" formatCode="0.00%">
                  <c:v>0.70987396035729067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09D-455F-BA8E-029D25FD8018}"/>
            </c:ext>
          </c:extLst>
        </c:ser>
        <c:ser>
          <c:idx val="15"/>
          <c:order val="15"/>
          <c:tx>
            <c:strRef>
              <c:f>'Progressive AfA'!$J$21</c:f>
              <c:strCache>
                <c:ptCount val="1"/>
                <c:pt idx="0">
                  <c:v>7,0%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'Progressive AfA'!$K$5:$U$5</c:f>
              <c:numCache>
                <c:formatCode>General_)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'Progressive AfA'!$K$21:$U$21</c:f>
              <c:numCache>
                <c:formatCode>General</c:formatCode>
                <c:ptCount val="11"/>
                <c:pt idx="9" formatCode="0.00%">
                  <c:v>0.73473178626901581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09D-455F-BA8E-029D25FD8018}"/>
            </c:ext>
          </c:extLst>
        </c:ser>
        <c:ser>
          <c:idx val="16"/>
          <c:order val="16"/>
          <c:tx>
            <c:strRef>
              <c:f>'Progressive AfA'!$J$22</c:f>
              <c:strCache>
                <c:ptCount val="1"/>
                <c:pt idx="0">
                  <c:v>8,0%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'Progressive AfA'!$K$5:$U$5</c:f>
              <c:numCache>
                <c:formatCode>General_)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'Progressive AfA'!$K$22:$U$22</c:f>
              <c:numCache>
                <c:formatCode>General</c:formatCode>
                <c:ptCount val="11"/>
                <c:pt idx="9" formatCode="0.00%">
                  <c:v>0.75665267354921184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09D-455F-BA8E-029D25FD8018}"/>
            </c:ext>
          </c:extLst>
        </c:ser>
        <c:ser>
          <c:idx val="17"/>
          <c:order val="17"/>
          <c:tx>
            <c:strRef>
              <c:f>'Progressive AfA'!$J$23</c:f>
              <c:strCache>
                <c:ptCount val="1"/>
                <c:pt idx="0">
                  <c:v>9,0%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'Progressive AfA'!$K$5:$U$5</c:f>
              <c:numCache>
                <c:formatCode>General_)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'Progressive AfA'!$K$23:$U$23</c:f>
              <c:numCache>
                <c:formatCode>General</c:formatCode>
                <c:ptCount val="11"/>
                <c:pt idx="9" formatCode="0.00%">
                  <c:v>0.77589180917869438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09D-455F-BA8E-029D25FD8018}"/>
            </c:ext>
          </c:extLst>
        </c:ser>
        <c:ser>
          <c:idx val="18"/>
          <c:order val="18"/>
          <c:tx>
            <c:strRef>
              <c:f>'Progressive AfA'!$J$24</c:f>
              <c:strCache>
                <c:ptCount val="1"/>
                <c:pt idx="0">
                  <c:v>10,0%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'Progressive AfA'!$K$5:$U$5</c:f>
              <c:numCache>
                <c:formatCode>General_)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'Progressive AfA'!$K$24:$U$24</c:f>
              <c:numCache>
                <c:formatCode>General</c:formatCode>
                <c:ptCount val="11"/>
                <c:pt idx="9" formatCode="0.00%">
                  <c:v>0.79273700045215889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09D-455F-BA8E-029D25FD8018}"/>
            </c:ext>
          </c:extLst>
        </c:ser>
        <c:ser>
          <c:idx val="19"/>
          <c:order val="19"/>
          <c:tx>
            <c:strRef>
              <c:f>'Progressive AfA'!$J$25</c:f>
              <c:strCache>
                <c:ptCount val="1"/>
                <c:pt idx="0">
                  <c:v>11,0%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'Progressive AfA'!$K$5:$U$5</c:f>
              <c:numCache>
                <c:formatCode>General_)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'Progressive AfA'!$K$25:$U$25</c:f>
              <c:numCache>
                <c:formatCode>General</c:formatCode>
                <c:ptCount val="11"/>
                <c:pt idx="9" formatCode="0.00%">
                  <c:v>0.80747988717148989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09D-455F-BA8E-029D25FD8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089088"/>
        <c:axId val="358090624"/>
      </c:lineChart>
      <c:catAx>
        <c:axId val="358089088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8090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8090624"/>
        <c:scaling>
          <c:orientation val="minMax"/>
          <c:min val="0.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8089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80678929374318"/>
          <c:y val="6.684491978609626E-2"/>
          <c:w val="0.86988926533572086"/>
          <c:h val="0.82352941176470584"/>
        </c:manualLayout>
      </c:layout>
      <c:areaChart>
        <c:grouping val="stacked"/>
        <c:varyColors val="0"/>
        <c:ser>
          <c:idx val="0"/>
          <c:order val="0"/>
          <c:tx>
            <c:v>Buchwert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'Progressive AfA'!$B$10:$B$60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'Progressive AfA'!$C$10:$C$60</c:f>
              <c:numCache>
                <c:formatCode>#,##0</c:formatCode>
                <c:ptCount val="51"/>
                <c:pt idx="0">
                  <c:v>10000</c:v>
                </c:pt>
                <c:pt idx="1">
                  <c:v>9952.2326451426361</c:v>
                </c:pt>
                <c:pt idx="2">
                  <c:v>9902.0769225424028</c:v>
                </c:pt>
                <c:pt idx="3">
                  <c:v>9849.413413812159</c:v>
                </c:pt>
                <c:pt idx="4">
                  <c:v>9794.1167296454023</c:v>
                </c:pt>
                <c:pt idx="5">
                  <c:v>9736.0552112703081</c:v>
                </c:pt>
                <c:pt idx="6">
                  <c:v>9675.0906169764585</c:v>
                </c:pt>
                <c:pt idx="7">
                  <c:v>9611.077792967917</c:v>
                </c:pt>
                <c:pt idx="8">
                  <c:v>9543.864327758949</c:v>
                </c:pt>
                <c:pt idx="9">
                  <c:v>9473.2901892895316</c:v>
                </c:pt>
                <c:pt idx="10">
                  <c:v>9399.1873438966431</c:v>
                </c:pt>
                <c:pt idx="11">
                  <c:v>9321.3793562341107</c:v>
                </c:pt>
                <c:pt idx="12">
                  <c:v>9239.6809691884519</c:v>
                </c:pt>
                <c:pt idx="13">
                  <c:v>9153.8976627905104</c:v>
                </c:pt>
                <c:pt idx="14">
                  <c:v>9063.8251910726703</c:v>
                </c:pt>
                <c:pt idx="15">
                  <c:v>8969.2490957689388</c:v>
                </c:pt>
                <c:pt idx="16">
                  <c:v>8869.9441957000217</c:v>
                </c:pt>
                <c:pt idx="17">
                  <c:v>8765.6740506276583</c:v>
                </c:pt>
                <c:pt idx="18">
                  <c:v>8656.1903983016764</c:v>
                </c:pt>
                <c:pt idx="19">
                  <c:v>8541.2325633593955</c:v>
                </c:pt>
                <c:pt idx="20">
                  <c:v>8420.5268366700002</c:v>
                </c:pt>
                <c:pt idx="21">
                  <c:v>8293.7858236461361</c:v>
                </c:pt>
                <c:pt idx="22">
                  <c:v>8160.7077599710783</c:v>
                </c:pt>
                <c:pt idx="23">
                  <c:v>8020.9757931122676</c:v>
                </c:pt>
                <c:pt idx="24">
                  <c:v>7874.2572279105161</c:v>
                </c:pt>
                <c:pt idx="25">
                  <c:v>7720.2027344486769</c:v>
                </c:pt>
                <c:pt idx="26">
                  <c:v>7558.4455163137463</c:v>
                </c:pt>
                <c:pt idx="27">
                  <c:v>7388.600437272069</c:v>
                </c:pt>
                <c:pt idx="28">
                  <c:v>7210.2631042783078</c:v>
                </c:pt>
                <c:pt idx="29">
                  <c:v>7023.0089046348585</c:v>
                </c:pt>
                <c:pt idx="30">
                  <c:v>6826.3919950092368</c:v>
                </c:pt>
                <c:pt idx="31">
                  <c:v>6619.9442399023337</c:v>
                </c:pt>
                <c:pt idx="32">
                  <c:v>6403.1740970400861</c:v>
                </c:pt>
                <c:pt idx="33">
                  <c:v>6175.5654470347254</c:v>
                </c:pt>
                <c:pt idx="34">
                  <c:v>5936.5763645290972</c:v>
                </c:pt>
                <c:pt idx="35">
                  <c:v>5685.6378278981874</c:v>
                </c:pt>
                <c:pt idx="36">
                  <c:v>5422.1523644357321</c:v>
                </c:pt>
                <c:pt idx="37">
                  <c:v>5145.492627800154</c:v>
                </c:pt>
                <c:pt idx="38">
                  <c:v>4854.9999043327971</c:v>
                </c:pt>
                <c:pt idx="39">
                  <c:v>4549.9825446920722</c:v>
                </c:pt>
                <c:pt idx="40">
                  <c:v>4229.7143170693107</c:v>
                </c:pt>
                <c:pt idx="41">
                  <c:v>3893.4326780654114</c:v>
                </c:pt>
                <c:pt idx="42">
                  <c:v>3540.3369571113171</c:v>
                </c:pt>
                <c:pt idx="43">
                  <c:v>3169.5864501095184</c:v>
                </c:pt>
                <c:pt idx="44">
                  <c:v>2780.2984177576295</c:v>
                </c:pt>
                <c:pt idx="45">
                  <c:v>2371.5459837881463</c:v>
                </c:pt>
                <c:pt idx="46">
                  <c:v>1942.3559281201888</c:v>
                </c:pt>
                <c:pt idx="47">
                  <c:v>1491.7063696688335</c:v>
                </c:pt>
                <c:pt idx="48">
                  <c:v>1018.5243332949105</c:v>
                </c:pt>
                <c:pt idx="49">
                  <c:v>521.68319510229139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2B-476F-BD18-D15838F8C46F}"/>
            </c:ext>
          </c:extLst>
        </c:ser>
        <c:ser>
          <c:idx val="1"/>
          <c:order val="1"/>
          <c:tx>
            <c:v>Jährliche AfA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ysDash"/>
            </a:ln>
          </c:spPr>
          <c:cat>
            <c:numRef>
              <c:f>'Progressive AfA'!$B$10:$B$60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'Progressive AfA'!$F$10:$F$60</c:f>
              <c:numCache>
                <c:formatCode>#,##0</c:formatCode>
                <c:ptCount val="51"/>
                <c:pt idx="1">
                  <c:v>47.767354857364694</c:v>
                </c:pt>
                <c:pt idx="2">
                  <c:v>50.155722600232878</c:v>
                </c:pt>
                <c:pt idx="3">
                  <c:v>52.66350873024453</c:v>
                </c:pt>
                <c:pt idx="4">
                  <c:v>55.296684166756734</c:v>
                </c:pt>
                <c:pt idx="5">
                  <c:v>58.061518375094579</c:v>
                </c:pt>
                <c:pt idx="6">
                  <c:v>60.964594293849245</c:v>
                </c:pt>
                <c:pt idx="7">
                  <c:v>64.01282400854177</c:v>
                </c:pt>
                <c:pt idx="8">
                  <c:v>67.213465208968842</c:v>
                </c:pt>
                <c:pt idx="9">
                  <c:v>70.574138469417221</c:v>
                </c:pt>
                <c:pt idx="10">
                  <c:v>74.102845392888071</c:v>
                </c:pt>
                <c:pt idx="11">
                  <c:v>77.807987662532526</c:v>
                </c:pt>
                <c:pt idx="12">
                  <c:v>81.69838704565916</c:v>
                </c:pt>
                <c:pt idx="13">
                  <c:v>85.783306397942056</c:v>
                </c:pt>
                <c:pt idx="14">
                  <c:v>90.072471717839164</c:v>
                </c:pt>
                <c:pt idx="15">
                  <c:v>94.576095303731165</c:v>
                </c:pt>
                <c:pt idx="16">
                  <c:v>99.304900068917732</c:v>
                </c:pt>
                <c:pt idx="17">
                  <c:v>104.27014507236356</c:v>
                </c:pt>
                <c:pt idx="18">
                  <c:v>109.48365232598178</c:v>
                </c:pt>
                <c:pt idx="19">
                  <c:v>114.95783494228084</c:v>
                </c:pt>
                <c:pt idx="20">
                  <c:v>120.70572668939491</c:v>
                </c:pt>
                <c:pt idx="21">
                  <c:v>126.74101302386464</c:v>
                </c:pt>
                <c:pt idx="22">
                  <c:v>133.07806367505788</c:v>
                </c:pt>
                <c:pt idx="23">
                  <c:v>139.73196685881078</c:v>
                </c:pt>
                <c:pt idx="24">
                  <c:v>146.71856520175129</c:v>
                </c:pt>
                <c:pt idx="25">
                  <c:v>154.05449346183889</c:v>
                </c:pt>
                <c:pt idx="26">
                  <c:v>161.75721813493084</c:v>
                </c:pt>
                <c:pt idx="27">
                  <c:v>169.84507904167737</c:v>
                </c:pt>
                <c:pt idx="28">
                  <c:v>178.33733299376121</c:v>
                </c:pt>
                <c:pt idx="29">
                  <c:v>187.25419964344928</c:v>
                </c:pt>
                <c:pt idx="30">
                  <c:v>196.61690962562176</c:v>
                </c:pt>
                <c:pt idx="31">
                  <c:v>206.44775510690283</c:v>
                </c:pt>
                <c:pt idx="32">
                  <c:v>216.77014286224801</c:v>
                </c:pt>
                <c:pt idx="33">
                  <c:v>227.60865000536035</c:v>
                </c:pt>
                <c:pt idx="34">
                  <c:v>238.9890825056284</c:v>
                </c:pt>
                <c:pt idx="35">
                  <c:v>250.93853663090982</c:v>
                </c:pt>
                <c:pt idx="36">
                  <c:v>263.4854634624553</c:v>
                </c:pt>
                <c:pt idx="37">
                  <c:v>276.6597366355781</c:v>
                </c:pt>
                <c:pt idx="38">
                  <c:v>290.492723467357</c:v>
                </c:pt>
                <c:pt idx="39">
                  <c:v>305.01735964072486</c:v>
                </c:pt>
                <c:pt idx="40">
                  <c:v>320.26822762276106</c:v>
                </c:pt>
                <c:pt idx="41">
                  <c:v>336.28163900389916</c:v>
                </c:pt>
                <c:pt idx="42">
                  <c:v>353.09572095409408</c:v>
                </c:pt>
                <c:pt idx="43">
                  <c:v>370.75050700179884</c:v>
                </c:pt>
                <c:pt idx="44">
                  <c:v>389.28803235188877</c:v>
                </c:pt>
                <c:pt idx="45">
                  <c:v>408.75243396948321</c:v>
                </c:pt>
                <c:pt idx="46">
                  <c:v>429.19005566795738</c:v>
                </c:pt>
                <c:pt idx="47">
                  <c:v>450.64955845135523</c:v>
                </c:pt>
                <c:pt idx="48">
                  <c:v>473.18203637392298</c:v>
                </c:pt>
                <c:pt idx="49">
                  <c:v>496.84113819261916</c:v>
                </c:pt>
                <c:pt idx="50">
                  <c:v>521.68319510225012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2B-476F-BD18-D15838F8C46F}"/>
            </c:ext>
          </c:extLst>
        </c:ser>
        <c:ser>
          <c:idx val="2"/>
          <c:order val="2"/>
          <c:tx>
            <c:v>AfA Vorjahre</c:v>
          </c:tx>
          <c:spPr>
            <a:solidFill>
              <a:srgbClr val="CCFFCC"/>
            </a:solidFill>
            <a:ln w="25400">
              <a:noFill/>
            </a:ln>
          </c:spPr>
          <c:cat>
            <c:numRef>
              <c:f>'Progressive AfA'!$B$10:$B$60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'Progressive AfA'!$G$10:$G$60</c:f>
              <c:numCache>
                <c:formatCode>#,##0</c:formatCode>
                <c:ptCount val="51"/>
                <c:pt idx="1">
                  <c:v>0</c:v>
                </c:pt>
                <c:pt idx="2">
                  <c:v>47.767354857364694</c:v>
                </c:pt>
                <c:pt idx="3">
                  <c:v>97.923077457597572</c:v>
                </c:pt>
                <c:pt idx="4">
                  <c:v>150.5865861878421</c:v>
                </c:pt>
                <c:pt idx="5">
                  <c:v>205.88327035459884</c:v>
                </c:pt>
                <c:pt idx="6">
                  <c:v>263.94478872969341</c:v>
                </c:pt>
                <c:pt idx="7">
                  <c:v>324.90938302354266</c:v>
                </c:pt>
                <c:pt idx="8">
                  <c:v>388.92220703208443</c:v>
                </c:pt>
                <c:pt idx="9">
                  <c:v>456.13567224105327</c:v>
                </c:pt>
                <c:pt idx="10">
                  <c:v>526.70981071047049</c:v>
                </c:pt>
                <c:pt idx="11">
                  <c:v>600.81265610335856</c:v>
                </c:pt>
                <c:pt idx="12">
                  <c:v>678.62064376589115</c:v>
                </c:pt>
                <c:pt idx="13">
                  <c:v>760.31903081155031</c:v>
                </c:pt>
                <c:pt idx="14">
                  <c:v>846.10233720949236</c:v>
                </c:pt>
                <c:pt idx="15">
                  <c:v>936.17480892733147</c:v>
                </c:pt>
                <c:pt idx="16">
                  <c:v>1030.7509042310626</c:v>
                </c:pt>
                <c:pt idx="17">
                  <c:v>1130.0558042999803</c:v>
                </c:pt>
                <c:pt idx="18">
                  <c:v>1234.325949372344</c:v>
                </c:pt>
                <c:pt idx="19">
                  <c:v>1343.8096016983259</c:v>
                </c:pt>
                <c:pt idx="20">
                  <c:v>1458.7674366406068</c:v>
                </c:pt>
                <c:pt idx="21">
                  <c:v>1579.4731633300016</c:v>
                </c:pt>
                <c:pt idx="22">
                  <c:v>1706.2141763538662</c:v>
                </c:pt>
                <c:pt idx="23">
                  <c:v>1839.292240028924</c:v>
                </c:pt>
                <c:pt idx="24">
                  <c:v>1979.0242068877346</c:v>
                </c:pt>
                <c:pt idx="25">
                  <c:v>2125.7427720894857</c:v>
                </c:pt>
                <c:pt idx="26">
                  <c:v>2279.7972655513245</c:v>
                </c:pt>
                <c:pt idx="27">
                  <c:v>2441.5544836862555</c:v>
                </c:pt>
                <c:pt idx="28">
                  <c:v>2611.3995627279328</c:v>
                </c:pt>
                <c:pt idx="29">
                  <c:v>2789.7368957216941</c:v>
                </c:pt>
                <c:pt idx="30">
                  <c:v>2976.9910953651433</c:v>
                </c:pt>
                <c:pt idx="31">
                  <c:v>3173.608004990765</c:v>
                </c:pt>
                <c:pt idx="32">
                  <c:v>3380.0557600976681</c:v>
                </c:pt>
                <c:pt idx="33">
                  <c:v>3596.8259029599162</c:v>
                </c:pt>
                <c:pt idx="34">
                  <c:v>3824.4345529652765</c:v>
                </c:pt>
                <c:pt idx="35">
                  <c:v>4063.4236354709046</c:v>
                </c:pt>
                <c:pt idx="36">
                  <c:v>4314.3621721018144</c:v>
                </c:pt>
                <c:pt idx="37">
                  <c:v>4577.8476355642697</c:v>
                </c:pt>
                <c:pt idx="38">
                  <c:v>4854.5073721998479</c:v>
                </c:pt>
                <c:pt idx="39">
                  <c:v>5145.0000956672047</c:v>
                </c:pt>
                <c:pt idx="40">
                  <c:v>5450.0174553079296</c:v>
                </c:pt>
                <c:pt idx="41">
                  <c:v>5770.2856829306911</c:v>
                </c:pt>
                <c:pt idx="42">
                  <c:v>6106.5673219345899</c:v>
                </c:pt>
                <c:pt idx="43">
                  <c:v>6459.6630428886838</c:v>
                </c:pt>
                <c:pt idx="44">
                  <c:v>6830.4135498904825</c:v>
                </c:pt>
                <c:pt idx="45">
                  <c:v>7219.7015822423709</c:v>
                </c:pt>
                <c:pt idx="46">
                  <c:v>7628.4540162118537</c:v>
                </c:pt>
                <c:pt idx="47">
                  <c:v>8057.6440718798112</c:v>
                </c:pt>
                <c:pt idx="48">
                  <c:v>8508.2936303311672</c:v>
                </c:pt>
                <c:pt idx="49">
                  <c:v>8981.4756667050897</c:v>
                </c:pt>
                <c:pt idx="50">
                  <c:v>9478.3168048977095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2B-476F-BD18-D15838F8C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127872"/>
        <c:axId val="358133760"/>
      </c:areaChart>
      <c:catAx>
        <c:axId val="35812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813376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3581337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812787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1223040465265582"/>
          <c:y val="5.5785395110735124E-2"/>
          <c:w val="0.65467758077002958"/>
          <c:h val="8.057878354048719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98224565872556E-2"/>
          <c:y val="4.615391549566631E-2"/>
          <c:w val="0.87028402109285297"/>
          <c:h val="0.85846282821939335"/>
        </c:manualLayout>
      </c:layout>
      <c:lineChart>
        <c:grouping val="standard"/>
        <c:varyColors val="0"/>
        <c:ser>
          <c:idx val="0"/>
          <c:order val="0"/>
          <c:tx>
            <c:strRef>
              <c:f>'Digitale AfA'!$J$10</c:f>
              <c:strCache>
                <c:ptCount val="1"/>
                <c:pt idx="0">
                  <c:v>34,0%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'Digitale AfA'!$I$11:$I$60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'Digitale AfA'!$J$11:$J$60</c:f>
              <c:numCache>
                <c:formatCode>0.0%</c:formatCode>
                <c:ptCount val="50"/>
                <c:pt idx="0">
                  <c:v>0.5</c:v>
                </c:pt>
                <c:pt idx="1">
                  <c:v>0.44444444444444448</c:v>
                </c:pt>
                <c:pt idx="2">
                  <c:v>0.41666666666666674</c:v>
                </c:pt>
                <c:pt idx="3">
                  <c:v>0.4</c:v>
                </c:pt>
                <c:pt idx="4">
                  <c:v>0.3888888888888889</c:v>
                </c:pt>
                <c:pt idx="5">
                  <c:v>0.38095238095238099</c:v>
                </c:pt>
                <c:pt idx="6">
                  <c:v>0.37500000000000006</c:v>
                </c:pt>
                <c:pt idx="7">
                  <c:v>0.37037037037037052</c:v>
                </c:pt>
                <c:pt idx="8">
                  <c:v>0.36666666666666664</c:v>
                </c:pt>
                <c:pt idx="9">
                  <c:v>0.36363636363636376</c:v>
                </c:pt>
                <c:pt idx="10">
                  <c:v>0.36111111111111116</c:v>
                </c:pt>
                <c:pt idx="11">
                  <c:v>0.35897435897435886</c:v>
                </c:pt>
                <c:pt idx="12">
                  <c:v>0.35714285714285704</c:v>
                </c:pt>
                <c:pt idx="13">
                  <c:v>0.35555555555555546</c:v>
                </c:pt>
                <c:pt idx="14">
                  <c:v>0.35416666666666674</c:v>
                </c:pt>
                <c:pt idx="15">
                  <c:v>0.35294117647058826</c:v>
                </c:pt>
                <c:pt idx="16">
                  <c:v>0.35185185185185197</c:v>
                </c:pt>
                <c:pt idx="17">
                  <c:v>0.35087719298245601</c:v>
                </c:pt>
                <c:pt idx="18">
                  <c:v>0.35000000000000009</c:v>
                </c:pt>
                <c:pt idx="19">
                  <c:v>0.34920634920634935</c:v>
                </c:pt>
                <c:pt idx="20">
                  <c:v>0.34848484848484856</c:v>
                </c:pt>
                <c:pt idx="21">
                  <c:v>0.34782608695652178</c:v>
                </c:pt>
                <c:pt idx="22">
                  <c:v>0.34722222222222227</c:v>
                </c:pt>
                <c:pt idx="23">
                  <c:v>0.34666666666666673</c:v>
                </c:pt>
                <c:pt idx="24">
                  <c:v>0.34615384615384615</c:v>
                </c:pt>
                <c:pt idx="25">
                  <c:v>0.34567901234567894</c:v>
                </c:pt>
                <c:pt idx="26">
                  <c:v>0.34523809523809512</c:v>
                </c:pt>
                <c:pt idx="27">
                  <c:v>0.34482758620689646</c:v>
                </c:pt>
                <c:pt idx="28">
                  <c:v>0.34444444444444444</c:v>
                </c:pt>
                <c:pt idx="29">
                  <c:v>0.34408602150537632</c:v>
                </c:pt>
                <c:pt idx="30">
                  <c:v>0.34375000000000006</c:v>
                </c:pt>
                <c:pt idx="31">
                  <c:v>0.34343434343434348</c:v>
                </c:pt>
                <c:pt idx="32">
                  <c:v>0.34313725490196084</c:v>
                </c:pt>
                <c:pt idx="33">
                  <c:v>0.3428571428571428</c:v>
                </c:pt>
                <c:pt idx="34">
                  <c:v>0.3425925925925925</c:v>
                </c:pt>
                <c:pt idx="35">
                  <c:v>0.34234234234234229</c:v>
                </c:pt>
                <c:pt idx="36">
                  <c:v>0.34210526315789463</c:v>
                </c:pt>
                <c:pt idx="37">
                  <c:v>0.34188034188034216</c:v>
                </c:pt>
                <c:pt idx="38">
                  <c:v>0.34166666666666673</c:v>
                </c:pt>
                <c:pt idx="39">
                  <c:v>0.34146341463414626</c:v>
                </c:pt>
                <c:pt idx="40">
                  <c:v>0.34126984126984111</c:v>
                </c:pt>
                <c:pt idx="41">
                  <c:v>0.3410852713178294</c:v>
                </c:pt>
                <c:pt idx="42">
                  <c:v>0.34090909090909083</c:v>
                </c:pt>
                <c:pt idx="43">
                  <c:v>0.34074074074074057</c:v>
                </c:pt>
                <c:pt idx="44">
                  <c:v>0.34057971014492761</c:v>
                </c:pt>
                <c:pt idx="45">
                  <c:v>0.34042553191489372</c:v>
                </c:pt>
                <c:pt idx="46">
                  <c:v>0.3402777777777779</c:v>
                </c:pt>
                <c:pt idx="47">
                  <c:v>0.34013605442176864</c:v>
                </c:pt>
                <c:pt idx="48">
                  <c:v>0.34000000000000008</c:v>
                </c:pt>
                <c:pt idx="49">
                  <c:v>0.33986928104575154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64-4A0B-9715-8CF31A33E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8822272"/>
        <c:axId val="358823808"/>
      </c:lineChart>
      <c:catAx>
        <c:axId val="35882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8823808"/>
        <c:crossesAt val="0"/>
        <c:auto val="1"/>
        <c:lblAlgn val="ctr"/>
        <c:lblOffset val="100"/>
        <c:tickLblSkip val="3"/>
        <c:tickMarkSkip val="1"/>
        <c:noMultiLvlLbl val="0"/>
      </c:catAx>
      <c:valAx>
        <c:axId val="358823808"/>
        <c:scaling>
          <c:orientation val="minMax"/>
          <c:max val="0.5"/>
          <c:min val="0.3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8822272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94357005404496"/>
          <c:y val="7.6923192492777182E-2"/>
          <c:w val="0.79717072934792499"/>
          <c:h val="0.79692427422517165"/>
        </c:manualLayout>
      </c:layout>
      <c:areaChart>
        <c:grouping val="stacked"/>
        <c:varyColors val="0"/>
        <c:ser>
          <c:idx val="1"/>
          <c:order val="0"/>
          <c:spPr>
            <a:solidFill>
              <a:srgbClr val="A6CAF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'Digitale AfA'!$G$11:$G$60</c:f>
              <c:numCache>
                <c:formatCode>#,##0</c:formatCode>
                <c:ptCount val="50"/>
                <c:pt idx="0">
                  <c:v>96078.431372549021</c:v>
                </c:pt>
                <c:pt idx="1">
                  <c:v>92235.294117647063</c:v>
                </c:pt>
                <c:pt idx="2">
                  <c:v>88470.588235294126</c:v>
                </c:pt>
                <c:pt idx="3">
                  <c:v>84784.31372549021</c:v>
                </c:pt>
                <c:pt idx="4">
                  <c:v>81176.470588235301</c:v>
                </c:pt>
                <c:pt idx="5">
                  <c:v>77647.058823529413</c:v>
                </c:pt>
                <c:pt idx="6">
                  <c:v>74196.078431372545</c:v>
                </c:pt>
                <c:pt idx="7">
                  <c:v>70823.529411764699</c:v>
                </c:pt>
                <c:pt idx="8">
                  <c:v>67529.411764705874</c:v>
                </c:pt>
                <c:pt idx="9">
                  <c:v>64313.72549019607</c:v>
                </c:pt>
                <c:pt idx="10">
                  <c:v>61176.470588235286</c:v>
                </c:pt>
                <c:pt idx="11">
                  <c:v>58117.647058823524</c:v>
                </c:pt>
                <c:pt idx="12">
                  <c:v>55137.254901960776</c:v>
                </c:pt>
                <c:pt idx="13">
                  <c:v>52235.294117647049</c:v>
                </c:pt>
                <c:pt idx="14">
                  <c:v>49411.764705882342</c:v>
                </c:pt>
                <c:pt idx="15">
                  <c:v>46666.666666666657</c:v>
                </c:pt>
                <c:pt idx="16">
                  <c:v>43999.999999999993</c:v>
                </c:pt>
                <c:pt idx="17">
                  <c:v>41411.764705882342</c:v>
                </c:pt>
                <c:pt idx="18">
                  <c:v>38901.960784313713</c:v>
                </c:pt>
                <c:pt idx="19">
                  <c:v>36470.588235294104</c:v>
                </c:pt>
                <c:pt idx="20">
                  <c:v>34117.647058823517</c:v>
                </c:pt>
                <c:pt idx="21">
                  <c:v>31843.137254901947</c:v>
                </c:pt>
                <c:pt idx="22">
                  <c:v>29647.058823529398</c:v>
                </c:pt>
                <c:pt idx="23">
                  <c:v>27529.41176470587</c:v>
                </c:pt>
                <c:pt idx="24">
                  <c:v>25490.19607843136</c:v>
                </c:pt>
                <c:pt idx="25">
                  <c:v>23529.41176470587</c:v>
                </c:pt>
                <c:pt idx="26">
                  <c:v>21647.058823529398</c:v>
                </c:pt>
                <c:pt idx="27">
                  <c:v>19843.137254901947</c:v>
                </c:pt>
                <c:pt idx="28">
                  <c:v>18117.647058823517</c:v>
                </c:pt>
                <c:pt idx="29">
                  <c:v>16470.588235294104</c:v>
                </c:pt>
                <c:pt idx="30">
                  <c:v>14901.960784313713</c:v>
                </c:pt>
                <c:pt idx="31">
                  <c:v>13411.76470588234</c:v>
                </c:pt>
                <c:pt idx="32">
                  <c:v>11999.999999999987</c:v>
                </c:pt>
                <c:pt idx="33">
                  <c:v>10666.666666666653</c:v>
                </c:pt>
                <c:pt idx="34">
                  <c:v>9411.7647058823404</c:v>
                </c:pt>
                <c:pt idx="35">
                  <c:v>8235.2941176470467</c:v>
                </c:pt>
                <c:pt idx="36">
                  <c:v>7137.2549019607723</c:v>
                </c:pt>
                <c:pt idx="37">
                  <c:v>6117.647058823517</c:v>
                </c:pt>
                <c:pt idx="38">
                  <c:v>5176.4705882352819</c:v>
                </c:pt>
                <c:pt idx="39">
                  <c:v>4313.7254901960659</c:v>
                </c:pt>
                <c:pt idx="40">
                  <c:v>3529.4117647058702</c:v>
                </c:pt>
                <c:pt idx="41">
                  <c:v>2823.5294117646936</c:v>
                </c:pt>
                <c:pt idx="42">
                  <c:v>2196.0784313725367</c:v>
                </c:pt>
                <c:pt idx="43">
                  <c:v>1647.0588235293994</c:v>
                </c:pt>
                <c:pt idx="44">
                  <c:v>1176.4705882352819</c:v>
                </c:pt>
                <c:pt idx="45">
                  <c:v>784.31372549018386</c:v>
                </c:pt>
                <c:pt idx="46">
                  <c:v>470.58823529410546</c:v>
                </c:pt>
                <c:pt idx="47">
                  <c:v>235.29411764704665</c:v>
                </c:pt>
                <c:pt idx="48">
                  <c:v>78.431372549007449</c:v>
                </c:pt>
                <c:pt idx="49">
                  <c:v>-1.2150280781497713E-11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F5-4726-9366-09C5E38A5290}"/>
            </c:ext>
          </c:extLst>
        </c:ser>
        <c:ser>
          <c:idx val="0"/>
          <c:order val="1"/>
          <c:spPr>
            <a:solidFill>
              <a:srgbClr val="FFFFC0"/>
            </a:solidFill>
            <a:ln w="12700">
              <a:solidFill>
                <a:srgbClr val="000000"/>
              </a:solidFill>
              <a:prstDash val="sysDash"/>
            </a:ln>
          </c:spPr>
          <c:val>
            <c:numRef>
              <c:f>'Digitale AfA'!$F$11:$F$60</c:f>
              <c:numCache>
                <c:formatCode>#,##0</c:formatCode>
                <c:ptCount val="50"/>
                <c:pt idx="0">
                  <c:v>3921.5686274509803</c:v>
                </c:pt>
                <c:pt idx="1">
                  <c:v>3843.1372549019607</c:v>
                </c:pt>
                <c:pt idx="2">
                  <c:v>3764.705882352941</c:v>
                </c:pt>
                <c:pt idx="3">
                  <c:v>3686.2745098039218</c:v>
                </c:pt>
                <c:pt idx="4">
                  <c:v>3607.8431372549021</c:v>
                </c:pt>
                <c:pt idx="5">
                  <c:v>3529.4117647058824</c:v>
                </c:pt>
                <c:pt idx="6">
                  <c:v>3450.9803921568628</c:v>
                </c:pt>
                <c:pt idx="7">
                  <c:v>3372.5490196078426</c:v>
                </c:pt>
                <c:pt idx="8">
                  <c:v>3294.1176470588239</c:v>
                </c:pt>
                <c:pt idx="9">
                  <c:v>3215.6862745098042</c:v>
                </c:pt>
                <c:pt idx="10">
                  <c:v>3137.2549019607841</c:v>
                </c:pt>
                <c:pt idx="11">
                  <c:v>3058.8235294117649</c:v>
                </c:pt>
                <c:pt idx="12">
                  <c:v>2980.3921568627452</c:v>
                </c:pt>
                <c:pt idx="13">
                  <c:v>2901.9607843137255</c:v>
                </c:pt>
                <c:pt idx="14">
                  <c:v>2823.5294117647059</c:v>
                </c:pt>
                <c:pt idx="15">
                  <c:v>2745.0980392156862</c:v>
                </c:pt>
                <c:pt idx="16">
                  <c:v>2666.666666666667</c:v>
                </c:pt>
                <c:pt idx="17">
                  <c:v>2588.2352941176473</c:v>
                </c:pt>
                <c:pt idx="18">
                  <c:v>2509.8039215686272</c:v>
                </c:pt>
                <c:pt idx="19">
                  <c:v>2431.372549019608</c:v>
                </c:pt>
                <c:pt idx="20">
                  <c:v>2352.9411764705883</c:v>
                </c:pt>
                <c:pt idx="21">
                  <c:v>2274.5098039215686</c:v>
                </c:pt>
                <c:pt idx="22">
                  <c:v>2196.0784313725489</c:v>
                </c:pt>
                <c:pt idx="23">
                  <c:v>2117.6470588235293</c:v>
                </c:pt>
                <c:pt idx="24">
                  <c:v>2039.2156862745098</c:v>
                </c:pt>
                <c:pt idx="25">
                  <c:v>1960.7843137254902</c:v>
                </c:pt>
                <c:pt idx="26">
                  <c:v>1882.3529411764705</c:v>
                </c:pt>
                <c:pt idx="27">
                  <c:v>1803.9215686274511</c:v>
                </c:pt>
                <c:pt idx="28">
                  <c:v>1725.4901960784314</c:v>
                </c:pt>
                <c:pt idx="29">
                  <c:v>1647.0588235294119</c:v>
                </c:pt>
                <c:pt idx="30">
                  <c:v>1568.627450980392</c:v>
                </c:pt>
                <c:pt idx="31">
                  <c:v>1490.1960784313726</c:v>
                </c:pt>
                <c:pt idx="32">
                  <c:v>1411.7647058823529</c:v>
                </c:pt>
                <c:pt idx="33">
                  <c:v>1333.3333333333335</c:v>
                </c:pt>
                <c:pt idx="34">
                  <c:v>1254.9019607843136</c:v>
                </c:pt>
                <c:pt idx="35">
                  <c:v>1176.4705882352941</c:v>
                </c:pt>
                <c:pt idx="36">
                  <c:v>1098.0392156862745</c:v>
                </c:pt>
                <c:pt idx="37">
                  <c:v>1019.6078431372549</c:v>
                </c:pt>
                <c:pt idx="38">
                  <c:v>941.17647058823525</c:v>
                </c:pt>
                <c:pt idx="39">
                  <c:v>862.74509803921569</c:v>
                </c:pt>
                <c:pt idx="40">
                  <c:v>784.31372549019602</c:v>
                </c:pt>
                <c:pt idx="41">
                  <c:v>705.88235294117646</c:v>
                </c:pt>
                <c:pt idx="42">
                  <c:v>627.45098039215679</c:v>
                </c:pt>
                <c:pt idx="43">
                  <c:v>549.01960784313724</c:v>
                </c:pt>
                <c:pt idx="44">
                  <c:v>470.58823529411762</c:v>
                </c:pt>
                <c:pt idx="45">
                  <c:v>392.15686274509801</c:v>
                </c:pt>
                <c:pt idx="46">
                  <c:v>313.7254901960784</c:v>
                </c:pt>
                <c:pt idx="47">
                  <c:v>235.29411764705881</c:v>
                </c:pt>
                <c:pt idx="48">
                  <c:v>156.8627450980392</c:v>
                </c:pt>
                <c:pt idx="49">
                  <c:v>78.431372549019599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F5-4726-9366-09C5E38A5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852480"/>
        <c:axId val="358854016"/>
      </c:areaChart>
      <c:catAx>
        <c:axId val="35885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885401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5885401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885248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92326614383012"/>
          <c:y val="2.7777777777777776E-2"/>
          <c:w val="0.77329633144190868"/>
          <c:h val="0.8416746864975212"/>
        </c:manualLayout>
      </c:layout>
      <c:scatterChart>
        <c:scatterStyle val="lineMarker"/>
        <c:varyColors val="0"/>
        <c:ser>
          <c:idx val="0"/>
          <c:order val="0"/>
          <c:tx>
            <c:strRef>
              <c:f>AfA!$B$54</c:f>
              <c:strCache>
                <c:ptCount val="1"/>
                <c:pt idx="0">
                  <c:v>AV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AfA!$C$53:$W$53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AfA!$C$54:$W$54</c:f>
              <c:numCache>
                <c:formatCode>#,##0</c:formatCode>
                <c:ptCount val="21"/>
                <c:pt idx="0">
                  <c:v>100000</c:v>
                </c:pt>
                <c:pt idx="1">
                  <c:v>96147.72431171409</c:v>
                </c:pt>
                <c:pt idx="2">
                  <c:v>96147.72431171409</c:v>
                </c:pt>
                <c:pt idx="3">
                  <c:v>91524.993485771003</c:v>
                </c:pt>
                <c:pt idx="4">
                  <c:v>91524.993485771003</c:v>
                </c:pt>
                <c:pt idx="5">
                  <c:v>85977.716494639288</c:v>
                </c:pt>
                <c:pt idx="6">
                  <c:v>85977.716494639288</c:v>
                </c:pt>
                <c:pt idx="7">
                  <c:v>79320.984105281241</c:v>
                </c:pt>
                <c:pt idx="8">
                  <c:v>79320.984105281241</c:v>
                </c:pt>
                <c:pt idx="9">
                  <c:v>71332.905238051579</c:v>
                </c:pt>
                <c:pt idx="10">
                  <c:v>71332.905238051579</c:v>
                </c:pt>
                <c:pt idx="11">
                  <c:v>61747.210597375983</c:v>
                </c:pt>
                <c:pt idx="12">
                  <c:v>61747.210597375983</c:v>
                </c:pt>
                <c:pt idx="13">
                  <c:v>50244.377028565264</c:v>
                </c:pt>
                <c:pt idx="14">
                  <c:v>50244.377028565264</c:v>
                </c:pt>
                <c:pt idx="15">
                  <c:v>36440.976745992404</c:v>
                </c:pt>
                <c:pt idx="16">
                  <c:v>36440.976745992404</c:v>
                </c:pt>
                <c:pt idx="17">
                  <c:v>19876.896406904973</c:v>
                </c:pt>
                <c:pt idx="18">
                  <c:v>19876.896406904973</c:v>
                </c:pt>
                <c:pt idx="19">
                  <c:v>5.4569682106375694E-11</c:v>
                </c:pt>
                <c:pt idx="20">
                  <c:v>5.4569682106375694E-11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1C-40C3-8B4E-A345E63311A3}"/>
            </c:ext>
          </c:extLst>
        </c:ser>
        <c:ser>
          <c:idx val="1"/>
          <c:order val="1"/>
          <c:tx>
            <c:strRef>
              <c:f>AfA!$B$55</c:f>
              <c:strCache>
                <c:ptCount val="1"/>
                <c:pt idx="0">
                  <c:v>Punkt1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AfA!$C$53:$W$53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AfA!$C$55:$W$55</c:f>
              <c:numCache>
                <c:formatCode>#,##0</c:formatCode>
                <c:ptCount val="21"/>
                <c:pt idx="0">
                  <c:v>100000</c:v>
                </c:pt>
                <c:pt idx="1">
                  <c:v>100000</c:v>
                </c:pt>
                <c:pt idx="2">
                  <c:v>96147.72431171409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1C-40C3-8B4E-A345E63311A3}"/>
            </c:ext>
          </c:extLst>
        </c:ser>
        <c:ser>
          <c:idx val="2"/>
          <c:order val="2"/>
          <c:tx>
            <c:strRef>
              <c:f>AfA!$B$56</c:f>
              <c:strCache>
                <c:ptCount val="1"/>
                <c:pt idx="0">
                  <c:v>Punkt2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AfA!$C$53:$W$53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AfA!$C$56:$W$56</c:f>
              <c:numCache>
                <c:formatCode>#,##0</c:formatCode>
                <c:ptCount val="21"/>
                <c:pt idx="2">
                  <c:v>96147.72431171409</c:v>
                </c:pt>
                <c:pt idx="3">
                  <c:v>96147.72431171409</c:v>
                </c:pt>
                <c:pt idx="4">
                  <c:v>91524.993485771003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41C-40C3-8B4E-A345E63311A3}"/>
            </c:ext>
          </c:extLst>
        </c:ser>
        <c:ser>
          <c:idx val="3"/>
          <c:order val="3"/>
          <c:tx>
            <c:strRef>
              <c:f>AfA!$B$57</c:f>
              <c:strCache>
                <c:ptCount val="1"/>
                <c:pt idx="0">
                  <c:v>Punkt3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AfA!$C$53:$W$53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AfA!$C$57:$W$57</c:f>
              <c:numCache>
                <c:formatCode>#,##0</c:formatCode>
                <c:ptCount val="21"/>
                <c:pt idx="4">
                  <c:v>91524.993485771003</c:v>
                </c:pt>
                <c:pt idx="5">
                  <c:v>91524.993485771003</c:v>
                </c:pt>
                <c:pt idx="6">
                  <c:v>85977.716494639288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41C-40C3-8B4E-A345E63311A3}"/>
            </c:ext>
          </c:extLst>
        </c:ser>
        <c:ser>
          <c:idx val="4"/>
          <c:order val="4"/>
          <c:tx>
            <c:strRef>
              <c:f>AfA!$B$58</c:f>
              <c:strCache>
                <c:ptCount val="1"/>
                <c:pt idx="0">
                  <c:v>Punkt4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AfA!$C$53:$W$53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AfA!$C$58:$W$58</c:f>
              <c:numCache>
                <c:formatCode>#,##0</c:formatCode>
                <c:ptCount val="21"/>
                <c:pt idx="6">
                  <c:v>85977.716494639288</c:v>
                </c:pt>
                <c:pt idx="7">
                  <c:v>85977.716494639288</c:v>
                </c:pt>
                <c:pt idx="8">
                  <c:v>79320.984105281241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41C-40C3-8B4E-A345E63311A3}"/>
            </c:ext>
          </c:extLst>
        </c:ser>
        <c:ser>
          <c:idx val="5"/>
          <c:order val="5"/>
          <c:tx>
            <c:strRef>
              <c:f>AfA!$B$59</c:f>
              <c:strCache>
                <c:ptCount val="1"/>
                <c:pt idx="0">
                  <c:v>Punkt5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AfA!$C$53:$W$53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AfA!$C$59:$W$59</c:f>
              <c:numCache>
                <c:formatCode>#,##0</c:formatCode>
                <c:ptCount val="21"/>
                <c:pt idx="8">
                  <c:v>79320.984105281241</c:v>
                </c:pt>
                <c:pt idx="9">
                  <c:v>79320.984105281241</c:v>
                </c:pt>
                <c:pt idx="10">
                  <c:v>71332.905238051579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41C-40C3-8B4E-A345E63311A3}"/>
            </c:ext>
          </c:extLst>
        </c:ser>
        <c:ser>
          <c:idx val="6"/>
          <c:order val="6"/>
          <c:tx>
            <c:strRef>
              <c:f>AfA!$B$60</c:f>
              <c:strCache>
                <c:ptCount val="1"/>
                <c:pt idx="0">
                  <c:v>Punkt6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AfA!$C$53:$W$53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AfA!$C$60:$W$60</c:f>
              <c:numCache>
                <c:formatCode>#,##0</c:formatCode>
                <c:ptCount val="21"/>
                <c:pt idx="10">
                  <c:v>71332.905238051579</c:v>
                </c:pt>
                <c:pt idx="11">
                  <c:v>71332.905238051579</c:v>
                </c:pt>
                <c:pt idx="12">
                  <c:v>61747.210597375983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41C-40C3-8B4E-A345E63311A3}"/>
            </c:ext>
          </c:extLst>
        </c:ser>
        <c:ser>
          <c:idx val="7"/>
          <c:order val="7"/>
          <c:tx>
            <c:strRef>
              <c:f>AfA!$B$61</c:f>
              <c:strCache>
                <c:ptCount val="1"/>
                <c:pt idx="0">
                  <c:v>Punkt7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AfA!$C$53:$W$53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AfA!$C$61:$W$61</c:f>
              <c:numCache>
                <c:formatCode>#,##0</c:formatCode>
                <c:ptCount val="21"/>
                <c:pt idx="12">
                  <c:v>61747.210597375983</c:v>
                </c:pt>
                <c:pt idx="13">
                  <c:v>61747.210597375983</c:v>
                </c:pt>
                <c:pt idx="14">
                  <c:v>50244.377028565264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41C-40C3-8B4E-A345E63311A3}"/>
            </c:ext>
          </c:extLst>
        </c:ser>
        <c:ser>
          <c:idx val="8"/>
          <c:order val="8"/>
          <c:tx>
            <c:strRef>
              <c:f>AfA!$B$62</c:f>
              <c:strCache>
                <c:ptCount val="1"/>
                <c:pt idx="0">
                  <c:v>Punkt8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AfA!$C$53:$W$53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AfA!$C$62:$W$62</c:f>
              <c:numCache>
                <c:formatCode>General</c:formatCode>
                <c:ptCount val="21"/>
                <c:pt idx="14" formatCode="#,##0">
                  <c:v>50244.377028565264</c:v>
                </c:pt>
                <c:pt idx="15" formatCode="#,##0">
                  <c:v>50244.377028565264</c:v>
                </c:pt>
                <c:pt idx="16" formatCode="#,##0">
                  <c:v>36440.976745992404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41C-40C3-8B4E-A345E63311A3}"/>
            </c:ext>
          </c:extLst>
        </c:ser>
        <c:ser>
          <c:idx val="9"/>
          <c:order val="9"/>
          <c:tx>
            <c:strRef>
              <c:f>AfA!$B$63</c:f>
              <c:strCache>
                <c:ptCount val="1"/>
                <c:pt idx="0">
                  <c:v>Punkt9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AfA!$C$53:$W$53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AfA!$C$63:$W$63</c:f>
              <c:numCache>
                <c:formatCode>General</c:formatCode>
                <c:ptCount val="21"/>
                <c:pt idx="16" formatCode="#,##0">
                  <c:v>36440.976745992404</c:v>
                </c:pt>
                <c:pt idx="17" formatCode="#,##0">
                  <c:v>36440.976745992404</c:v>
                </c:pt>
                <c:pt idx="18" formatCode="#,##0">
                  <c:v>19876.896406904973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41C-40C3-8B4E-A345E63311A3}"/>
            </c:ext>
          </c:extLst>
        </c:ser>
        <c:ser>
          <c:idx val="10"/>
          <c:order val="10"/>
          <c:tx>
            <c:strRef>
              <c:f>AfA!$B$64</c:f>
              <c:strCache>
                <c:ptCount val="1"/>
                <c:pt idx="0">
                  <c:v>Punkt10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AfA!$C$53:$W$53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AfA!$C$64:$W$64</c:f>
              <c:numCache>
                <c:formatCode>General</c:formatCode>
                <c:ptCount val="21"/>
                <c:pt idx="18" formatCode="#,##0">
                  <c:v>19876.896406904973</c:v>
                </c:pt>
                <c:pt idx="19" formatCode="#,##0">
                  <c:v>19876.896406904973</c:v>
                </c:pt>
                <c:pt idx="20" formatCode="#,##0">
                  <c:v>5.4569682106375694E-11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41C-40C3-8B4E-A345E63311A3}"/>
            </c:ext>
          </c:extLst>
        </c:ser>
        <c:ser>
          <c:idx val="11"/>
          <c:order val="11"/>
          <c:tx>
            <c:strRef>
              <c:f>AfA!$B$65</c:f>
              <c:strCache>
                <c:ptCount val="1"/>
                <c:pt idx="0">
                  <c:v>Punkt11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AfA!$C$53:$W$53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AfA!$C$65:$W$65</c:f>
              <c:numCache>
                <c:formatCode>General</c:formatCode>
                <c:ptCount val="21"/>
                <c:pt idx="20" formatCode="#,##0">
                  <c:v>5.4569682106375694E-11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41C-40C3-8B4E-A345E63311A3}"/>
            </c:ext>
          </c:extLst>
        </c:ser>
        <c:ser>
          <c:idx val="12"/>
          <c:order val="12"/>
          <c:tx>
            <c:strRef>
              <c:f>AfA!$B$66</c:f>
              <c:strCache>
                <c:ptCount val="1"/>
                <c:pt idx="0">
                  <c:v>Linear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prstDash val="lgDashDot"/>
              <a:round/>
            </a:ln>
            <a:effectLst/>
          </c:spPr>
          <c:marker>
            <c:symbol val="none"/>
          </c:marker>
          <c:xVal>
            <c:numRef>
              <c:f>AfA!$C$53:$W$53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AfA!$C$66:$W$66</c:f>
              <c:numCache>
                <c:formatCode>#,##0</c:formatCode>
                <c:ptCount val="21"/>
                <c:pt idx="0">
                  <c:v>100000</c:v>
                </c:pt>
                <c:pt idx="1">
                  <c:v>90000</c:v>
                </c:pt>
                <c:pt idx="2">
                  <c:v>90000</c:v>
                </c:pt>
                <c:pt idx="3">
                  <c:v>80000</c:v>
                </c:pt>
                <c:pt idx="4">
                  <c:v>80000</c:v>
                </c:pt>
                <c:pt idx="5">
                  <c:v>70000</c:v>
                </c:pt>
                <c:pt idx="6">
                  <c:v>70000</c:v>
                </c:pt>
                <c:pt idx="7">
                  <c:v>60000</c:v>
                </c:pt>
                <c:pt idx="8">
                  <c:v>60000</c:v>
                </c:pt>
                <c:pt idx="9">
                  <c:v>50000</c:v>
                </c:pt>
                <c:pt idx="10">
                  <c:v>50000</c:v>
                </c:pt>
                <c:pt idx="11">
                  <c:v>40000</c:v>
                </c:pt>
                <c:pt idx="12">
                  <c:v>40000</c:v>
                </c:pt>
                <c:pt idx="13">
                  <c:v>30000</c:v>
                </c:pt>
                <c:pt idx="14">
                  <c:v>30000</c:v>
                </c:pt>
                <c:pt idx="15">
                  <c:v>20000</c:v>
                </c:pt>
                <c:pt idx="16">
                  <c:v>20000</c:v>
                </c:pt>
                <c:pt idx="17">
                  <c:v>10000</c:v>
                </c:pt>
                <c:pt idx="18">
                  <c:v>10000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41C-40C3-8B4E-A345E63311A3}"/>
            </c:ext>
          </c:extLst>
        </c:ser>
        <c:ser>
          <c:idx val="13"/>
          <c:order val="13"/>
          <c:tx>
            <c:strRef>
              <c:f>AfA!$B$67</c:f>
              <c:strCache>
                <c:ptCount val="1"/>
                <c:pt idx="0">
                  <c:v>Durchschnitt</c:v>
                </c:pt>
              </c:strCache>
            </c:strRef>
          </c:tx>
          <c:spPr>
            <a:ln w="12700" cap="rnd">
              <a:solidFill>
                <a:schemeClr val="accent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AfA!$C$53:$W$53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AfA!$C$67:$W$67</c:f>
              <c:numCache>
                <c:formatCode>#,##0</c:formatCode>
                <c:ptCount val="21"/>
                <c:pt idx="0">
                  <c:v>62964.88949220872</c:v>
                </c:pt>
                <c:pt idx="1">
                  <c:v>62964.88949220872</c:v>
                </c:pt>
                <c:pt idx="2">
                  <c:v>62964.88949220872</c:v>
                </c:pt>
                <c:pt idx="3">
                  <c:v>62964.88949220872</c:v>
                </c:pt>
                <c:pt idx="4">
                  <c:v>62964.88949220872</c:v>
                </c:pt>
                <c:pt idx="5">
                  <c:v>62964.88949220872</c:v>
                </c:pt>
                <c:pt idx="6">
                  <c:v>62964.88949220872</c:v>
                </c:pt>
                <c:pt idx="7">
                  <c:v>62964.88949220872</c:v>
                </c:pt>
                <c:pt idx="8">
                  <c:v>62964.88949220872</c:v>
                </c:pt>
                <c:pt idx="9">
                  <c:v>62964.88949220872</c:v>
                </c:pt>
                <c:pt idx="10">
                  <c:v>62964.88949220872</c:v>
                </c:pt>
                <c:pt idx="11">
                  <c:v>62964.88949220872</c:v>
                </c:pt>
                <c:pt idx="12">
                  <c:v>62964.88949220872</c:v>
                </c:pt>
                <c:pt idx="13">
                  <c:v>62964.88949220872</c:v>
                </c:pt>
                <c:pt idx="14">
                  <c:v>62964.88949220872</c:v>
                </c:pt>
                <c:pt idx="15">
                  <c:v>62964.88949220872</c:v>
                </c:pt>
                <c:pt idx="16">
                  <c:v>62964.88949220872</c:v>
                </c:pt>
                <c:pt idx="17">
                  <c:v>62964.88949220872</c:v>
                </c:pt>
                <c:pt idx="18">
                  <c:v>62964.88949220872</c:v>
                </c:pt>
                <c:pt idx="19">
                  <c:v>62964.88949220872</c:v>
                </c:pt>
                <c:pt idx="20">
                  <c:v>62964.88949220872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41C-40C3-8B4E-A345E6331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425792"/>
        <c:axId val="606433664"/>
      </c:scatterChart>
      <c:valAx>
        <c:axId val="606425792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Perioden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6433664"/>
        <c:crosses val="autoZero"/>
        <c:crossBetween val="midCat"/>
        <c:majorUnit val="1"/>
      </c:valAx>
      <c:valAx>
        <c:axId val="606433664"/>
        <c:scaling>
          <c:orientation val="minMax"/>
          <c:max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Anlagewert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6425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87974364518059"/>
          <c:y val="2.7777777777777776E-2"/>
          <c:w val="0.76933985394055815"/>
          <c:h val="0.8416746864975212"/>
        </c:manualLayout>
      </c:layout>
      <c:scatterChart>
        <c:scatterStyle val="lineMarker"/>
        <c:varyColors val="0"/>
        <c:ser>
          <c:idx val="0"/>
          <c:order val="0"/>
          <c:tx>
            <c:strRef>
              <c:f>AfA!$B$79</c:f>
              <c:strCache>
                <c:ptCount val="1"/>
                <c:pt idx="0">
                  <c:v>AV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AfA!$C$78:$W$78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AfA!$C$79:$W$79</c:f>
              <c:numCache>
                <c:formatCode>#,##0</c:formatCode>
                <c:ptCount val="21"/>
                <c:pt idx="0">
                  <c:v>100000</c:v>
                </c:pt>
                <c:pt idx="1">
                  <c:v>77594.195007966569</c:v>
                </c:pt>
                <c:pt idx="2">
                  <c:v>77594.195007966569</c:v>
                </c:pt>
                <c:pt idx="3">
                  <c:v>59669.551014339828</c:v>
                </c:pt>
                <c:pt idx="4">
                  <c:v>59669.551014339828</c:v>
                </c:pt>
                <c:pt idx="5">
                  <c:v>45329.835819438435</c:v>
                </c:pt>
                <c:pt idx="6">
                  <c:v>45329.835819438435</c:v>
                </c:pt>
                <c:pt idx="7">
                  <c:v>33858.063663517314</c:v>
                </c:pt>
                <c:pt idx="8">
                  <c:v>33858.063663517314</c:v>
                </c:pt>
                <c:pt idx="9">
                  <c:v>24680.645938780424</c:v>
                </c:pt>
                <c:pt idx="10">
                  <c:v>24680.645938780424</c:v>
                </c:pt>
                <c:pt idx="11">
                  <c:v>17338.71175899091</c:v>
                </c:pt>
                <c:pt idx="12">
                  <c:v>17338.71175899091</c:v>
                </c:pt>
                <c:pt idx="13">
                  <c:v>11465.164415159299</c:v>
                </c:pt>
                <c:pt idx="14">
                  <c:v>11465.164415159299</c:v>
                </c:pt>
                <c:pt idx="15">
                  <c:v>6766.3265400940109</c:v>
                </c:pt>
                <c:pt idx="16">
                  <c:v>6766.3265400940109</c:v>
                </c:pt>
                <c:pt idx="17">
                  <c:v>3007.256240041781</c:v>
                </c:pt>
                <c:pt idx="18">
                  <c:v>3007.256240041781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13-443E-B478-36A138057DCC}"/>
            </c:ext>
          </c:extLst>
        </c:ser>
        <c:ser>
          <c:idx val="1"/>
          <c:order val="1"/>
          <c:tx>
            <c:strRef>
              <c:f>AfA!$B$80</c:f>
              <c:strCache>
                <c:ptCount val="1"/>
                <c:pt idx="0">
                  <c:v>Punkt1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AfA!$C$78:$W$78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AfA!$C$80:$W$80</c:f>
              <c:numCache>
                <c:formatCode>#,##0</c:formatCode>
                <c:ptCount val="21"/>
                <c:pt idx="0">
                  <c:v>100000</c:v>
                </c:pt>
                <c:pt idx="1">
                  <c:v>100000</c:v>
                </c:pt>
                <c:pt idx="2">
                  <c:v>77594.195007966569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13-443E-B478-36A138057DCC}"/>
            </c:ext>
          </c:extLst>
        </c:ser>
        <c:ser>
          <c:idx val="2"/>
          <c:order val="2"/>
          <c:tx>
            <c:strRef>
              <c:f>AfA!$B$81</c:f>
              <c:strCache>
                <c:ptCount val="1"/>
                <c:pt idx="0">
                  <c:v>Punkt2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AfA!$C$78:$W$78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AfA!$C$81:$W$81</c:f>
              <c:numCache>
                <c:formatCode>#,##0</c:formatCode>
                <c:ptCount val="21"/>
                <c:pt idx="2">
                  <c:v>77594.195007966569</c:v>
                </c:pt>
                <c:pt idx="3">
                  <c:v>77594.195007966569</c:v>
                </c:pt>
                <c:pt idx="4">
                  <c:v>59669.551014339828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13-443E-B478-36A138057DCC}"/>
            </c:ext>
          </c:extLst>
        </c:ser>
        <c:ser>
          <c:idx val="3"/>
          <c:order val="3"/>
          <c:tx>
            <c:strRef>
              <c:f>AfA!$B$82</c:f>
              <c:strCache>
                <c:ptCount val="1"/>
                <c:pt idx="0">
                  <c:v>Punkt3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AfA!$C$78:$W$78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AfA!$C$82:$W$82</c:f>
              <c:numCache>
                <c:formatCode>#,##0</c:formatCode>
                <c:ptCount val="21"/>
                <c:pt idx="4">
                  <c:v>59669.551014339828</c:v>
                </c:pt>
                <c:pt idx="5">
                  <c:v>59669.551014339828</c:v>
                </c:pt>
                <c:pt idx="6">
                  <c:v>45329.835819438435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13-443E-B478-36A138057DCC}"/>
            </c:ext>
          </c:extLst>
        </c:ser>
        <c:ser>
          <c:idx val="4"/>
          <c:order val="4"/>
          <c:tx>
            <c:strRef>
              <c:f>AfA!$B$83</c:f>
              <c:strCache>
                <c:ptCount val="1"/>
                <c:pt idx="0">
                  <c:v>Punkt4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AfA!$C$78:$W$78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AfA!$C$83:$W$83</c:f>
              <c:numCache>
                <c:formatCode>#,##0</c:formatCode>
                <c:ptCount val="21"/>
                <c:pt idx="6">
                  <c:v>45329.835819438435</c:v>
                </c:pt>
                <c:pt idx="7">
                  <c:v>45329.835819438435</c:v>
                </c:pt>
                <c:pt idx="8">
                  <c:v>33858.063663517314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13-443E-B478-36A138057DCC}"/>
            </c:ext>
          </c:extLst>
        </c:ser>
        <c:ser>
          <c:idx val="5"/>
          <c:order val="5"/>
          <c:tx>
            <c:strRef>
              <c:f>AfA!$B$84</c:f>
              <c:strCache>
                <c:ptCount val="1"/>
                <c:pt idx="0">
                  <c:v>Punkt5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AfA!$C$78:$W$78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AfA!$C$84:$W$84</c:f>
              <c:numCache>
                <c:formatCode>#,##0</c:formatCode>
                <c:ptCount val="21"/>
                <c:pt idx="8">
                  <c:v>33858.063663517314</c:v>
                </c:pt>
                <c:pt idx="9">
                  <c:v>33858.063663517314</c:v>
                </c:pt>
                <c:pt idx="10">
                  <c:v>24680.645938780424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13-443E-B478-36A138057DCC}"/>
            </c:ext>
          </c:extLst>
        </c:ser>
        <c:ser>
          <c:idx val="6"/>
          <c:order val="6"/>
          <c:tx>
            <c:strRef>
              <c:f>AfA!$B$85</c:f>
              <c:strCache>
                <c:ptCount val="1"/>
                <c:pt idx="0">
                  <c:v>Punkt6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AfA!$C$78:$W$78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AfA!$C$85:$W$85</c:f>
              <c:numCache>
                <c:formatCode>#,##0</c:formatCode>
                <c:ptCount val="21"/>
                <c:pt idx="10">
                  <c:v>24680.645938780424</c:v>
                </c:pt>
                <c:pt idx="11">
                  <c:v>24680.645938780424</c:v>
                </c:pt>
                <c:pt idx="12">
                  <c:v>17338.71175899091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13-443E-B478-36A138057DCC}"/>
            </c:ext>
          </c:extLst>
        </c:ser>
        <c:ser>
          <c:idx val="7"/>
          <c:order val="7"/>
          <c:tx>
            <c:strRef>
              <c:f>AfA!$B$86</c:f>
              <c:strCache>
                <c:ptCount val="1"/>
                <c:pt idx="0">
                  <c:v>Punkt7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AfA!$C$78:$W$78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AfA!$C$86:$W$86</c:f>
              <c:numCache>
                <c:formatCode>#,##0</c:formatCode>
                <c:ptCount val="21"/>
                <c:pt idx="12">
                  <c:v>17338.71175899091</c:v>
                </c:pt>
                <c:pt idx="13">
                  <c:v>17338.71175899091</c:v>
                </c:pt>
                <c:pt idx="14">
                  <c:v>11465.164415159299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313-443E-B478-36A138057DCC}"/>
            </c:ext>
          </c:extLst>
        </c:ser>
        <c:ser>
          <c:idx val="8"/>
          <c:order val="8"/>
          <c:tx>
            <c:strRef>
              <c:f>AfA!$B$87</c:f>
              <c:strCache>
                <c:ptCount val="1"/>
                <c:pt idx="0">
                  <c:v>Punkt8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AfA!$C$78:$W$78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AfA!$C$87:$W$87</c:f>
              <c:numCache>
                <c:formatCode>General</c:formatCode>
                <c:ptCount val="21"/>
                <c:pt idx="14" formatCode="#,##0">
                  <c:v>11465.164415159299</c:v>
                </c:pt>
                <c:pt idx="15" formatCode="#,##0">
                  <c:v>11465.164415159299</c:v>
                </c:pt>
                <c:pt idx="16" formatCode="#,##0">
                  <c:v>6766.3265400940109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313-443E-B478-36A138057DCC}"/>
            </c:ext>
          </c:extLst>
        </c:ser>
        <c:ser>
          <c:idx val="9"/>
          <c:order val="9"/>
          <c:tx>
            <c:strRef>
              <c:f>AfA!$B$88</c:f>
              <c:strCache>
                <c:ptCount val="1"/>
                <c:pt idx="0">
                  <c:v>Punkt9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AfA!$C$78:$W$78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AfA!$C$88:$W$88</c:f>
              <c:numCache>
                <c:formatCode>General</c:formatCode>
                <c:ptCount val="21"/>
                <c:pt idx="16" formatCode="#,##0">
                  <c:v>6766.3265400940109</c:v>
                </c:pt>
                <c:pt idx="17" formatCode="#,##0">
                  <c:v>6766.3265400940109</c:v>
                </c:pt>
                <c:pt idx="18" formatCode="#,##0">
                  <c:v>3007.256240041781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313-443E-B478-36A138057DCC}"/>
            </c:ext>
          </c:extLst>
        </c:ser>
        <c:ser>
          <c:idx val="10"/>
          <c:order val="10"/>
          <c:tx>
            <c:strRef>
              <c:f>AfA!$B$89</c:f>
              <c:strCache>
                <c:ptCount val="1"/>
                <c:pt idx="0">
                  <c:v>Punkt10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AfA!$C$78:$W$78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AfA!$C$89:$W$89</c:f>
              <c:numCache>
                <c:formatCode>General</c:formatCode>
                <c:ptCount val="21"/>
                <c:pt idx="18" formatCode="#,##0">
                  <c:v>3007.256240041781</c:v>
                </c:pt>
                <c:pt idx="19" formatCode="#,##0">
                  <c:v>3007.256240041781</c:v>
                </c:pt>
                <c:pt idx="20" formatCode="#,##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313-443E-B478-36A138057DCC}"/>
            </c:ext>
          </c:extLst>
        </c:ser>
        <c:ser>
          <c:idx val="11"/>
          <c:order val="11"/>
          <c:tx>
            <c:strRef>
              <c:f>AfA!$B$90</c:f>
              <c:strCache>
                <c:ptCount val="1"/>
                <c:pt idx="0">
                  <c:v>Punkt11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AfA!$C$78:$W$78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AfA!$C$90:$W$90</c:f>
              <c:numCache>
                <c:formatCode>General</c:formatCode>
                <c:ptCount val="21"/>
                <c:pt idx="20" formatCode="#,##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313-443E-B478-36A138057DCC}"/>
            </c:ext>
          </c:extLst>
        </c:ser>
        <c:ser>
          <c:idx val="12"/>
          <c:order val="12"/>
          <c:tx>
            <c:strRef>
              <c:f>AfA!$B$91</c:f>
              <c:strCache>
                <c:ptCount val="1"/>
                <c:pt idx="0">
                  <c:v>Linear</c:v>
                </c:pt>
              </c:strCache>
            </c:strRef>
          </c:tx>
          <c:spPr>
            <a:ln w="12700" cap="rnd" cmpd="dbl">
              <a:solidFill>
                <a:schemeClr val="bg1">
                  <a:lumMod val="50000"/>
                </a:schemeClr>
              </a:solidFill>
              <a:prstDash val="lgDashDot"/>
              <a:round/>
            </a:ln>
            <a:effectLst/>
          </c:spPr>
          <c:marker>
            <c:symbol val="none"/>
          </c:marker>
          <c:xVal>
            <c:numRef>
              <c:f>AfA!$C$78:$W$78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AfA!$C$91:$W$91</c:f>
              <c:numCache>
                <c:formatCode>#,##0</c:formatCode>
                <c:ptCount val="21"/>
                <c:pt idx="0">
                  <c:v>100000</c:v>
                </c:pt>
                <c:pt idx="1">
                  <c:v>90000</c:v>
                </c:pt>
                <c:pt idx="2">
                  <c:v>90000</c:v>
                </c:pt>
                <c:pt idx="3">
                  <c:v>80000</c:v>
                </c:pt>
                <c:pt idx="4">
                  <c:v>80000</c:v>
                </c:pt>
                <c:pt idx="5">
                  <c:v>70000</c:v>
                </c:pt>
                <c:pt idx="6">
                  <c:v>70000</c:v>
                </c:pt>
                <c:pt idx="7">
                  <c:v>60000</c:v>
                </c:pt>
                <c:pt idx="8">
                  <c:v>60000</c:v>
                </c:pt>
                <c:pt idx="9">
                  <c:v>50000</c:v>
                </c:pt>
                <c:pt idx="10">
                  <c:v>50000</c:v>
                </c:pt>
                <c:pt idx="11">
                  <c:v>40000</c:v>
                </c:pt>
                <c:pt idx="12">
                  <c:v>40000</c:v>
                </c:pt>
                <c:pt idx="13">
                  <c:v>30000</c:v>
                </c:pt>
                <c:pt idx="14">
                  <c:v>30000</c:v>
                </c:pt>
                <c:pt idx="15">
                  <c:v>20000</c:v>
                </c:pt>
                <c:pt idx="16">
                  <c:v>20000</c:v>
                </c:pt>
                <c:pt idx="17">
                  <c:v>10000</c:v>
                </c:pt>
                <c:pt idx="18">
                  <c:v>10000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0313-443E-B478-36A138057DCC}"/>
            </c:ext>
          </c:extLst>
        </c:ser>
        <c:ser>
          <c:idx val="13"/>
          <c:order val="13"/>
          <c:tx>
            <c:strRef>
              <c:f>AfA!$B$92</c:f>
              <c:strCache>
                <c:ptCount val="1"/>
                <c:pt idx="0">
                  <c:v>Durchschnitt</c:v>
                </c:pt>
              </c:strCache>
            </c:strRef>
          </c:tx>
          <c:spPr>
            <a:ln w="12700" cap="rnd">
              <a:solidFill>
                <a:schemeClr val="accent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AfA!$C$78:$W$78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AfA!$C$92:$W$92</c:f>
              <c:numCache>
                <c:formatCode>#,##0</c:formatCode>
                <c:ptCount val="21"/>
                <c:pt idx="0">
                  <c:v>34519.068218029868</c:v>
                </c:pt>
                <c:pt idx="1">
                  <c:v>34519.068218029868</c:v>
                </c:pt>
                <c:pt idx="2">
                  <c:v>34519.068218029868</c:v>
                </c:pt>
                <c:pt idx="3">
                  <c:v>34519.068218029868</c:v>
                </c:pt>
                <c:pt idx="4">
                  <c:v>34519.068218029868</c:v>
                </c:pt>
                <c:pt idx="5">
                  <c:v>34519.068218029868</c:v>
                </c:pt>
                <c:pt idx="6">
                  <c:v>34519.068218029868</c:v>
                </c:pt>
                <c:pt idx="7">
                  <c:v>34519.068218029868</c:v>
                </c:pt>
                <c:pt idx="8">
                  <c:v>34519.068218029868</c:v>
                </c:pt>
                <c:pt idx="9">
                  <c:v>34519.068218029868</c:v>
                </c:pt>
                <c:pt idx="10">
                  <c:v>34519.068218029868</c:v>
                </c:pt>
                <c:pt idx="11">
                  <c:v>34519.068218029868</c:v>
                </c:pt>
                <c:pt idx="12">
                  <c:v>34519.068218029868</c:v>
                </c:pt>
                <c:pt idx="13">
                  <c:v>34519.068218029868</c:v>
                </c:pt>
                <c:pt idx="14">
                  <c:v>34519.068218029868</c:v>
                </c:pt>
                <c:pt idx="15">
                  <c:v>34519.068218029868</c:v>
                </c:pt>
                <c:pt idx="16">
                  <c:v>34519.068218029868</c:v>
                </c:pt>
                <c:pt idx="17">
                  <c:v>34519.068218029868</c:v>
                </c:pt>
                <c:pt idx="18">
                  <c:v>34519.068218029868</c:v>
                </c:pt>
                <c:pt idx="19">
                  <c:v>34519.068218029868</c:v>
                </c:pt>
                <c:pt idx="20">
                  <c:v>34519.068218029868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0313-443E-B478-36A138057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425792"/>
        <c:axId val="606433664"/>
      </c:scatterChart>
      <c:valAx>
        <c:axId val="606425792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Perioden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6433664"/>
        <c:crosses val="autoZero"/>
        <c:crossBetween val="midCat"/>
        <c:majorUnit val="1"/>
      </c:valAx>
      <c:valAx>
        <c:axId val="606433664"/>
        <c:scaling>
          <c:orientation val="minMax"/>
          <c:max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Anlagewert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6425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87974364518059"/>
          <c:y val="3.2407407407407406E-2"/>
          <c:w val="0.76933985394055815"/>
          <c:h val="0.8416746864975212"/>
        </c:manualLayout>
      </c:layout>
      <c:scatterChart>
        <c:scatterStyle val="lineMarker"/>
        <c:varyColors val="0"/>
        <c:ser>
          <c:idx val="0"/>
          <c:order val="0"/>
          <c:tx>
            <c:strRef>
              <c:f>AfA!$B$30</c:f>
              <c:strCache>
                <c:ptCount val="1"/>
                <c:pt idx="0">
                  <c:v>AV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AfA!$C$29:$W$29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AfA!$C$30:$W$30</c:f>
              <c:numCache>
                <c:formatCode>#,##0</c:formatCode>
                <c:ptCount val="21"/>
                <c:pt idx="0">
                  <c:v>100000</c:v>
                </c:pt>
                <c:pt idx="1">
                  <c:v>90000</c:v>
                </c:pt>
                <c:pt idx="2">
                  <c:v>90000</c:v>
                </c:pt>
                <c:pt idx="3">
                  <c:v>80000</c:v>
                </c:pt>
                <c:pt idx="4">
                  <c:v>80000</c:v>
                </c:pt>
                <c:pt idx="5">
                  <c:v>70000</c:v>
                </c:pt>
                <c:pt idx="6">
                  <c:v>70000</c:v>
                </c:pt>
                <c:pt idx="7">
                  <c:v>60000</c:v>
                </c:pt>
                <c:pt idx="8">
                  <c:v>60000</c:v>
                </c:pt>
                <c:pt idx="9">
                  <c:v>50000</c:v>
                </c:pt>
                <c:pt idx="10">
                  <c:v>50000</c:v>
                </c:pt>
                <c:pt idx="11">
                  <c:v>40000</c:v>
                </c:pt>
                <c:pt idx="12">
                  <c:v>40000</c:v>
                </c:pt>
                <c:pt idx="13">
                  <c:v>30000</c:v>
                </c:pt>
                <c:pt idx="14">
                  <c:v>30000</c:v>
                </c:pt>
                <c:pt idx="15">
                  <c:v>20000</c:v>
                </c:pt>
                <c:pt idx="16">
                  <c:v>20000</c:v>
                </c:pt>
                <c:pt idx="17">
                  <c:v>10000</c:v>
                </c:pt>
                <c:pt idx="18">
                  <c:v>10000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AE-456E-AA26-6B24E4D0802C}"/>
            </c:ext>
          </c:extLst>
        </c:ser>
        <c:ser>
          <c:idx val="1"/>
          <c:order val="1"/>
          <c:tx>
            <c:strRef>
              <c:f>AfA!$B$31</c:f>
              <c:strCache>
                <c:ptCount val="1"/>
                <c:pt idx="0">
                  <c:v>Punkt1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AfA!$C$29:$W$29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AfA!$C$31:$W$31</c:f>
              <c:numCache>
                <c:formatCode>#,##0</c:formatCode>
                <c:ptCount val="21"/>
                <c:pt idx="0">
                  <c:v>100000</c:v>
                </c:pt>
                <c:pt idx="1">
                  <c:v>100000</c:v>
                </c:pt>
                <c:pt idx="2">
                  <c:v>90000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AE-456E-AA26-6B24E4D0802C}"/>
            </c:ext>
          </c:extLst>
        </c:ser>
        <c:ser>
          <c:idx val="2"/>
          <c:order val="2"/>
          <c:tx>
            <c:strRef>
              <c:f>AfA!$B$32</c:f>
              <c:strCache>
                <c:ptCount val="1"/>
                <c:pt idx="0">
                  <c:v>Punkt2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AfA!$C$29:$W$29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AfA!$C$32:$W$32</c:f>
              <c:numCache>
                <c:formatCode>#,##0</c:formatCode>
                <c:ptCount val="21"/>
                <c:pt idx="2">
                  <c:v>90000</c:v>
                </c:pt>
                <c:pt idx="3">
                  <c:v>90000</c:v>
                </c:pt>
                <c:pt idx="4">
                  <c:v>80000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AE-456E-AA26-6B24E4D0802C}"/>
            </c:ext>
          </c:extLst>
        </c:ser>
        <c:ser>
          <c:idx val="3"/>
          <c:order val="3"/>
          <c:tx>
            <c:strRef>
              <c:f>AfA!$B$33</c:f>
              <c:strCache>
                <c:ptCount val="1"/>
                <c:pt idx="0">
                  <c:v>Punkt3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AfA!$C$29:$W$29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AfA!$C$33:$W$33</c:f>
              <c:numCache>
                <c:formatCode>#,##0</c:formatCode>
                <c:ptCount val="21"/>
                <c:pt idx="4">
                  <c:v>80000</c:v>
                </c:pt>
                <c:pt idx="5">
                  <c:v>80000</c:v>
                </c:pt>
                <c:pt idx="6">
                  <c:v>70000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AE-456E-AA26-6B24E4D0802C}"/>
            </c:ext>
          </c:extLst>
        </c:ser>
        <c:ser>
          <c:idx val="4"/>
          <c:order val="4"/>
          <c:tx>
            <c:strRef>
              <c:f>AfA!$B$34</c:f>
              <c:strCache>
                <c:ptCount val="1"/>
                <c:pt idx="0">
                  <c:v>Punkt4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AfA!$C$29:$W$29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AfA!$C$34:$W$34</c:f>
              <c:numCache>
                <c:formatCode>#,##0</c:formatCode>
                <c:ptCount val="21"/>
                <c:pt idx="6">
                  <c:v>70000</c:v>
                </c:pt>
                <c:pt idx="7">
                  <c:v>70000</c:v>
                </c:pt>
                <c:pt idx="8">
                  <c:v>60000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0AE-456E-AA26-6B24E4D0802C}"/>
            </c:ext>
          </c:extLst>
        </c:ser>
        <c:ser>
          <c:idx val="5"/>
          <c:order val="5"/>
          <c:tx>
            <c:strRef>
              <c:f>AfA!$B$35</c:f>
              <c:strCache>
                <c:ptCount val="1"/>
                <c:pt idx="0">
                  <c:v>Punkt5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AfA!$C$29:$W$29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AfA!$C$35:$W$35</c:f>
              <c:numCache>
                <c:formatCode>#,##0</c:formatCode>
                <c:ptCount val="21"/>
                <c:pt idx="8">
                  <c:v>60000</c:v>
                </c:pt>
                <c:pt idx="9">
                  <c:v>60000</c:v>
                </c:pt>
                <c:pt idx="10">
                  <c:v>50000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0AE-456E-AA26-6B24E4D0802C}"/>
            </c:ext>
          </c:extLst>
        </c:ser>
        <c:ser>
          <c:idx val="6"/>
          <c:order val="6"/>
          <c:tx>
            <c:strRef>
              <c:f>AfA!$B$36</c:f>
              <c:strCache>
                <c:ptCount val="1"/>
                <c:pt idx="0">
                  <c:v>Punkt6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AfA!$C$29:$W$29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AfA!$C$36:$W$36</c:f>
              <c:numCache>
                <c:formatCode>#,##0</c:formatCode>
                <c:ptCount val="21"/>
                <c:pt idx="10">
                  <c:v>50000</c:v>
                </c:pt>
                <c:pt idx="11">
                  <c:v>50000</c:v>
                </c:pt>
                <c:pt idx="12">
                  <c:v>40000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0AE-456E-AA26-6B24E4D0802C}"/>
            </c:ext>
          </c:extLst>
        </c:ser>
        <c:ser>
          <c:idx val="7"/>
          <c:order val="7"/>
          <c:tx>
            <c:strRef>
              <c:f>AfA!$B$37</c:f>
              <c:strCache>
                <c:ptCount val="1"/>
                <c:pt idx="0">
                  <c:v>Punkt7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AfA!$C$29:$W$29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AfA!$C$37:$W$37</c:f>
              <c:numCache>
                <c:formatCode>#,##0</c:formatCode>
                <c:ptCount val="21"/>
                <c:pt idx="12">
                  <c:v>40000</c:v>
                </c:pt>
                <c:pt idx="13">
                  <c:v>40000</c:v>
                </c:pt>
                <c:pt idx="14">
                  <c:v>30000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0AE-456E-AA26-6B24E4D0802C}"/>
            </c:ext>
          </c:extLst>
        </c:ser>
        <c:ser>
          <c:idx val="8"/>
          <c:order val="8"/>
          <c:tx>
            <c:strRef>
              <c:f>AfA!$B$38</c:f>
              <c:strCache>
                <c:ptCount val="1"/>
                <c:pt idx="0">
                  <c:v>Punkt8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AfA!$C$29:$W$29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AfA!$C$38:$W$38</c:f>
              <c:numCache>
                <c:formatCode>General</c:formatCode>
                <c:ptCount val="21"/>
                <c:pt idx="14" formatCode="#,##0">
                  <c:v>30000</c:v>
                </c:pt>
                <c:pt idx="15" formatCode="#,##0">
                  <c:v>30000</c:v>
                </c:pt>
                <c:pt idx="16" formatCode="#,##0">
                  <c:v>20000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0AE-456E-AA26-6B24E4D0802C}"/>
            </c:ext>
          </c:extLst>
        </c:ser>
        <c:ser>
          <c:idx val="9"/>
          <c:order val="9"/>
          <c:tx>
            <c:strRef>
              <c:f>AfA!$B$39</c:f>
              <c:strCache>
                <c:ptCount val="1"/>
                <c:pt idx="0">
                  <c:v>Punkt9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AfA!$C$29:$W$29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AfA!$C$39:$W$39</c:f>
              <c:numCache>
                <c:formatCode>General</c:formatCode>
                <c:ptCount val="21"/>
                <c:pt idx="16" formatCode="#,##0">
                  <c:v>20000</c:v>
                </c:pt>
                <c:pt idx="17" formatCode="#,##0">
                  <c:v>20000</c:v>
                </c:pt>
                <c:pt idx="18" formatCode="#,##0">
                  <c:v>10000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0AE-456E-AA26-6B24E4D0802C}"/>
            </c:ext>
          </c:extLst>
        </c:ser>
        <c:ser>
          <c:idx val="10"/>
          <c:order val="10"/>
          <c:tx>
            <c:strRef>
              <c:f>AfA!$B$40</c:f>
              <c:strCache>
                <c:ptCount val="1"/>
                <c:pt idx="0">
                  <c:v>Punkt10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AfA!$C$29:$W$29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AfA!$C$40:$W$40</c:f>
              <c:numCache>
                <c:formatCode>General</c:formatCode>
                <c:ptCount val="21"/>
                <c:pt idx="18" formatCode="#,##0">
                  <c:v>10000</c:v>
                </c:pt>
                <c:pt idx="19" formatCode="#,##0">
                  <c:v>10000</c:v>
                </c:pt>
                <c:pt idx="20" formatCode="#,##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0AE-456E-AA26-6B24E4D0802C}"/>
            </c:ext>
          </c:extLst>
        </c:ser>
        <c:ser>
          <c:idx val="11"/>
          <c:order val="11"/>
          <c:tx>
            <c:strRef>
              <c:f>AfA!$B$41</c:f>
              <c:strCache>
                <c:ptCount val="1"/>
                <c:pt idx="0">
                  <c:v>Punkt11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AfA!$C$29:$W$29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AfA!$C$41:$W$41</c:f>
              <c:numCache>
                <c:formatCode>General</c:formatCode>
                <c:ptCount val="21"/>
                <c:pt idx="20" formatCode="#,##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0AE-456E-AA26-6B24E4D0802C}"/>
            </c:ext>
          </c:extLst>
        </c:ser>
        <c:ser>
          <c:idx val="12"/>
          <c:order val="12"/>
          <c:tx>
            <c:strRef>
              <c:f>AfA!$B$42</c:f>
              <c:strCache>
                <c:ptCount val="1"/>
                <c:pt idx="0">
                  <c:v>Durchschnitt</c:v>
                </c:pt>
              </c:strCache>
            </c:strRef>
          </c:tx>
          <c:spPr>
            <a:ln w="12700" cap="rnd">
              <a:solidFill>
                <a:schemeClr val="accent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AfA!$C$29:$W$29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AfA!$C$42:$W$42</c:f>
              <c:numCache>
                <c:formatCode>General</c:formatCode>
                <c:ptCount val="21"/>
                <c:pt idx="0">
                  <c:v>50000</c:v>
                </c:pt>
                <c:pt idx="1">
                  <c:v>50000</c:v>
                </c:pt>
                <c:pt idx="2">
                  <c:v>50000</c:v>
                </c:pt>
                <c:pt idx="3">
                  <c:v>50000</c:v>
                </c:pt>
                <c:pt idx="4">
                  <c:v>50000</c:v>
                </c:pt>
                <c:pt idx="5">
                  <c:v>50000</c:v>
                </c:pt>
                <c:pt idx="6">
                  <c:v>50000</c:v>
                </c:pt>
                <c:pt idx="7">
                  <c:v>50000</c:v>
                </c:pt>
                <c:pt idx="8">
                  <c:v>50000</c:v>
                </c:pt>
                <c:pt idx="9">
                  <c:v>50000</c:v>
                </c:pt>
                <c:pt idx="10">
                  <c:v>50000</c:v>
                </c:pt>
                <c:pt idx="11">
                  <c:v>50000</c:v>
                </c:pt>
                <c:pt idx="12">
                  <c:v>50000</c:v>
                </c:pt>
                <c:pt idx="13">
                  <c:v>50000</c:v>
                </c:pt>
                <c:pt idx="14">
                  <c:v>50000</c:v>
                </c:pt>
                <c:pt idx="15">
                  <c:v>50000</c:v>
                </c:pt>
                <c:pt idx="16">
                  <c:v>50000</c:v>
                </c:pt>
                <c:pt idx="17">
                  <c:v>50000</c:v>
                </c:pt>
                <c:pt idx="18">
                  <c:v>50000</c:v>
                </c:pt>
                <c:pt idx="19">
                  <c:v>50000</c:v>
                </c:pt>
                <c:pt idx="20">
                  <c:v>50000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00AE-456E-AA26-6B24E4D08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425792"/>
        <c:axId val="606433664"/>
      </c:scatterChart>
      <c:valAx>
        <c:axId val="606425792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Perioden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6433664"/>
        <c:crosses val="autoZero"/>
        <c:crossBetween val="midCat"/>
        <c:majorUnit val="1"/>
      </c:valAx>
      <c:valAx>
        <c:axId val="606433664"/>
        <c:scaling>
          <c:orientation val="minMax"/>
          <c:max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Anlagewert</a:t>
                </a:r>
              </a:p>
            </c:rich>
          </c:tx>
          <c:layout>
            <c:manualLayout>
              <c:xMode val="edge"/>
              <c:yMode val="edge"/>
              <c:x val="0"/>
              <c:y val="0.32647382618839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6425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3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87974364518059"/>
          <c:y val="3.2407407407407406E-2"/>
          <c:w val="0.7712336638386641"/>
          <c:h val="0.8416746864975212"/>
        </c:manualLayout>
      </c:layout>
      <c:scatterChart>
        <c:scatterStyle val="lineMarker"/>
        <c:varyColors val="0"/>
        <c:ser>
          <c:idx val="0"/>
          <c:order val="0"/>
          <c:tx>
            <c:strRef>
              <c:f>AfA!$B$30</c:f>
              <c:strCache>
                <c:ptCount val="1"/>
                <c:pt idx="0">
                  <c:v>AV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AfA!$C$29:$W$29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AfA!$C$30:$W$30</c:f>
              <c:numCache>
                <c:formatCode>#,##0</c:formatCode>
                <c:ptCount val="21"/>
                <c:pt idx="0">
                  <c:v>100000</c:v>
                </c:pt>
                <c:pt idx="1">
                  <c:v>90000</c:v>
                </c:pt>
                <c:pt idx="2">
                  <c:v>90000</c:v>
                </c:pt>
                <c:pt idx="3">
                  <c:v>80000</c:v>
                </c:pt>
                <c:pt idx="4">
                  <c:v>80000</c:v>
                </c:pt>
                <c:pt idx="5">
                  <c:v>70000</c:v>
                </c:pt>
                <c:pt idx="6">
                  <c:v>70000</c:v>
                </c:pt>
                <c:pt idx="7">
                  <c:v>60000</c:v>
                </c:pt>
                <c:pt idx="8">
                  <c:v>60000</c:v>
                </c:pt>
                <c:pt idx="9">
                  <c:v>50000</c:v>
                </c:pt>
                <c:pt idx="10">
                  <c:v>50000</c:v>
                </c:pt>
                <c:pt idx="11">
                  <c:v>40000</c:v>
                </c:pt>
                <c:pt idx="12">
                  <c:v>40000</c:v>
                </c:pt>
                <c:pt idx="13">
                  <c:v>30000</c:v>
                </c:pt>
                <c:pt idx="14">
                  <c:v>30000</c:v>
                </c:pt>
                <c:pt idx="15">
                  <c:v>20000</c:v>
                </c:pt>
                <c:pt idx="16">
                  <c:v>20000</c:v>
                </c:pt>
                <c:pt idx="17">
                  <c:v>10000</c:v>
                </c:pt>
                <c:pt idx="18">
                  <c:v>10000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6A-4780-ACEA-7C81E02D0F5B}"/>
            </c:ext>
          </c:extLst>
        </c:ser>
        <c:ser>
          <c:idx val="1"/>
          <c:order val="1"/>
          <c:tx>
            <c:strRef>
              <c:f>AfA!$B$31</c:f>
              <c:strCache>
                <c:ptCount val="1"/>
                <c:pt idx="0">
                  <c:v>Punkt1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AfA!$C$29:$W$29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AfA!$C$31:$W$31</c:f>
              <c:numCache>
                <c:formatCode>#,##0</c:formatCode>
                <c:ptCount val="21"/>
                <c:pt idx="0">
                  <c:v>100000</c:v>
                </c:pt>
                <c:pt idx="1">
                  <c:v>100000</c:v>
                </c:pt>
                <c:pt idx="2">
                  <c:v>90000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6A-4780-ACEA-7C81E02D0F5B}"/>
            </c:ext>
          </c:extLst>
        </c:ser>
        <c:ser>
          <c:idx val="2"/>
          <c:order val="2"/>
          <c:tx>
            <c:strRef>
              <c:f>AfA!$B$32</c:f>
              <c:strCache>
                <c:ptCount val="1"/>
                <c:pt idx="0">
                  <c:v>Punkt2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AfA!$C$29:$W$29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AfA!$C$32:$W$32</c:f>
              <c:numCache>
                <c:formatCode>#,##0</c:formatCode>
                <c:ptCount val="21"/>
                <c:pt idx="2">
                  <c:v>90000</c:v>
                </c:pt>
                <c:pt idx="3">
                  <c:v>90000</c:v>
                </c:pt>
                <c:pt idx="4">
                  <c:v>80000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6A-4780-ACEA-7C81E02D0F5B}"/>
            </c:ext>
          </c:extLst>
        </c:ser>
        <c:ser>
          <c:idx val="3"/>
          <c:order val="3"/>
          <c:tx>
            <c:strRef>
              <c:f>AfA!$B$33</c:f>
              <c:strCache>
                <c:ptCount val="1"/>
                <c:pt idx="0">
                  <c:v>Punkt3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AfA!$C$29:$W$29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AfA!$C$33:$W$33</c:f>
              <c:numCache>
                <c:formatCode>#,##0</c:formatCode>
                <c:ptCount val="21"/>
                <c:pt idx="4">
                  <c:v>80000</c:v>
                </c:pt>
                <c:pt idx="5">
                  <c:v>80000</c:v>
                </c:pt>
                <c:pt idx="6">
                  <c:v>70000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6A-4780-ACEA-7C81E02D0F5B}"/>
            </c:ext>
          </c:extLst>
        </c:ser>
        <c:ser>
          <c:idx val="4"/>
          <c:order val="4"/>
          <c:tx>
            <c:strRef>
              <c:f>AfA!$B$34</c:f>
              <c:strCache>
                <c:ptCount val="1"/>
                <c:pt idx="0">
                  <c:v>Punkt4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AfA!$C$29:$W$29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AfA!$C$34:$W$34</c:f>
              <c:numCache>
                <c:formatCode>#,##0</c:formatCode>
                <c:ptCount val="21"/>
                <c:pt idx="6">
                  <c:v>70000</c:v>
                </c:pt>
                <c:pt idx="7">
                  <c:v>70000</c:v>
                </c:pt>
                <c:pt idx="8">
                  <c:v>60000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6A-4780-ACEA-7C81E02D0F5B}"/>
            </c:ext>
          </c:extLst>
        </c:ser>
        <c:ser>
          <c:idx val="5"/>
          <c:order val="5"/>
          <c:tx>
            <c:strRef>
              <c:f>AfA!$B$35</c:f>
              <c:strCache>
                <c:ptCount val="1"/>
                <c:pt idx="0">
                  <c:v>Punkt5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AfA!$C$29:$W$29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AfA!$C$35:$W$35</c:f>
              <c:numCache>
                <c:formatCode>#,##0</c:formatCode>
                <c:ptCount val="21"/>
                <c:pt idx="8">
                  <c:v>60000</c:v>
                </c:pt>
                <c:pt idx="9">
                  <c:v>60000</c:v>
                </c:pt>
                <c:pt idx="10">
                  <c:v>50000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6A-4780-ACEA-7C81E02D0F5B}"/>
            </c:ext>
          </c:extLst>
        </c:ser>
        <c:ser>
          <c:idx val="6"/>
          <c:order val="6"/>
          <c:tx>
            <c:strRef>
              <c:f>AfA!$B$36</c:f>
              <c:strCache>
                <c:ptCount val="1"/>
                <c:pt idx="0">
                  <c:v>Punkt6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AfA!$C$29:$W$29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AfA!$C$36:$W$36</c:f>
              <c:numCache>
                <c:formatCode>#,##0</c:formatCode>
                <c:ptCount val="21"/>
                <c:pt idx="10">
                  <c:v>50000</c:v>
                </c:pt>
                <c:pt idx="11">
                  <c:v>50000</c:v>
                </c:pt>
                <c:pt idx="12">
                  <c:v>40000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6A-4780-ACEA-7C81E02D0F5B}"/>
            </c:ext>
          </c:extLst>
        </c:ser>
        <c:ser>
          <c:idx val="7"/>
          <c:order val="7"/>
          <c:tx>
            <c:strRef>
              <c:f>AfA!$B$37</c:f>
              <c:strCache>
                <c:ptCount val="1"/>
                <c:pt idx="0">
                  <c:v>Punkt7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AfA!$C$29:$W$29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AfA!$C$37:$W$37</c:f>
              <c:numCache>
                <c:formatCode>#,##0</c:formatCode>
                <c:ptCount val="21"/>
                <c:pt idx="12">
                  <c:v>40000</c:v>
                </c:pt>
                <c:pt idx="13">
                  <c:v>40000</c:v>
                </c:pt>
                <c:pt idx="14">
                  <c:v>30000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6A-4780-ACEA-7C81E02D0F5B}"/>
            </c:ext>
          </c:extLst>
        </c:ser>
        <c:ser>
          <c:idx val="8"/>
          <c:order val="8"/>
          <c:tx>
            <c:strRef>
              <c:f>AfA!$B$38</c:f>
              <c:strCache>
                <c:ptCount val="1"/>
                <c:pt idx="0">
                  <c:v>Punkt8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AfA!$C$29:$W$29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AfA!$C$38:$W$38</c:f>
              <c:numCache>
                <c:formatCode>General</c:formatCode>
                <c:ptCount val="21"/>
                <c:pt idx="14" formatCode="#,##0">
                  <c:v>30000</c:v>
                </c:pt>
                <c:pt idx="15" formatCode="#,##0">
                  <c:v>30000</c:v>
                </c:pt>
                <c:pt idx="16" formatCode="#,##0">
                  <c:v>20000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06A-4780-ACEA-7C81E02D0F5B}"/>
            </c:ext>
          </c:extLst>
        </c:ser>
        <c:ser>
          <c:idx val="9"/>
          <c:order val="9"/>
          <c:tx>
            <c:strRef>
              <c:f>AfA!$B$39</c:f>
              <c:strCache>
                <c:ptCount val="1"/>
                <c:pt idx="0">
                  <c:v>Punkt9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AfA!$C$29:$W$29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AfA!$C$39:$W$39</c:f>
              <c:numCache>
                <c:formatCode>General</c:formatCode>
                <c:ptCount val="21"/>
                <c:pt idx="16" formatCode="#,##0">
                  <c:v>20000</c:v>
                </c:pt>
                <c:pt idx="17" formatCode="#,##0">
                  <c:v>20000</c:v>
                </c:pt>
                <c:pt idx="18" formatCode="#,##0">
                  <c:v>10000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06A-4780-ACEA-7C81E02D0F5B}"/>
            </c:ext>
          </c:extLst>
        </c:ser>
        <c:ser>
          <c:idx val="10"/>
          <c:order val="10"/>
          <c:tx>
            <c:strRef>
              <c:f>AfA!$B$40</c:f>
              <c:strCache>
                <c:ptCount val="1"/>
                <c:pt idx="0">
                  <c:v>Punkt10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AfA!$C$29:$W$29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AfA!$C$40:$W$40</c:f>
              <c:numCache>
                <c:formatCode>General</c:formatCode>
                <c:ptCount val="21"/>
                <c:pt idx="18" formatCode="#,##0">
                  <c:v>10000</c:v>
                </c:pt>
                <c:pt idx="19" formatCode="#,##0">
                  <c:v>10000</c:v>
                </c:pt>
                <c:pt idx="20" formatCode="#,##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206A-4780-ACEA-7C81E02D0F5B}"/>
            </c:ext>
          </c:extLst>
        </c:ser>
        <c:ser>
          <c:idx val="11"/>
          <c:order val="11"/>
          <c:tx>
            <c:strRef>
              <c:f>AfA!$B$41</c:f>
              <c:strCache>
                <c:ptCount val="1"/>
                <c:pt idx="0">
                  <c:v>Punkt11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AfA!$C$29:$W$29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AfA!$C$41:$W$41</c:f>
              <c:numCache>
                <c:formatCode>General</c:formatCode>
                <c:ptCount val="21"/>
                <c:pt idx="20" formatCode="#,##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206A-4780-ACEA-7C81E02D0F5B}"/>
            </c:ext>
          </c:extLst>
        </c:ser>
        <c:ser>
          <c:idx val="12"/>
          <c:order val="12"/>
          <c:tx>
            <c:strRef>
              <c:f>AfA!$B$42</c:f>
              <c:strCache>
                <c:ptCount val="1"/>
                <c:pt idx="0">
                  <c:v>Durchschnitt</c:v>
                </c:pt>
              </c:strCache>
            </c:strRef>
          </c:tx>
          <c:spPr>
            <a:ln w="12700" cap="rnd">
              <a:solidFill>
                <a:schemeClr val="accent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AfA!$C$29:$W$29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AfA!$C$42:$W$42</c:f>
              <c:numCache>
                <c:formatCode>General</c:formatCode>
                <c:ptCount val="21"/>
                <c:pt idx="0">
                  <c:v>50000</c:v>
                </c:pt>
                <c:pt idx="1">
                  <c:v>50000</c:v>
                </c:pt>
                <c:pt idx="2">
                  <c:v>50000</c:v>
                </c:pt>
                <c:pt idx="3">
                  <c:v>50000</c:v>
                </c:pt>
                <c:pt idx="4">
                  <c:v>50000</c:v>
                </c:pt>
                <c:pt idx="5">
                  <c:v>50000</c:v>
                </c:pt>
                <c:pt idx="6">
                  <c:v>50000</c:v>
                </c:pt>
                <c:pt idx="7">
                  <c:v>50000</c:v>
                </c:pt>
                <c:pt idx="8">
                  <c:v>50000</c:v>
                </c:pt>
                <c:pt idx="9">
                  <c:v>50000</c:v>
                </c:pt>
                <c:pt idx="10">
                  <c:v>50000</c:v>
                </c:pt>
                <c:pt idx="11">
                  <c:v>50000</c:v>
                </c:pt>
                <c:pt idx="12">
                  <c:v>50000</c:v>
                </c:pt>
                <c:pt idx="13">
                  <c:v>50000</c:v>
                </c:pt>
                <c:pt idx="14">
                  <c:v>50000</c:v>
                </c:pt>
                <c:pt idx="15">
                  <c:v>50000</c:v>
                </c:pt>
                <c:pt idx="16">
                  <c:v>50000</c:v>
                </c:pt>
                <c:pt idx="17">
                  <c:v>50000</c:v>
                </c:pt>
                <c:pt idx="18">
                  <c:v>50000</c:v>
                </c:pt>
                <c:pt idx="19">
                  <c:v>50000</c:v>
                </c:pt>
                <c:pt idx="20">
                  <c:v>50000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206A-4780-ACEA-7C81E02D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425792"/>
        <c:axId val="606433664"/>
      </c:scatterChart>
      <c:valAx>
        <c:axId val="606425792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Nutzungsdauer in Jahre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6433664"/>
        <c:crosses val="autoZero"/>
        <c:crossBetween val="midCat"/>
        <c:majorUnit val="1"/>
      </c:valAx>
      <c:valAx>
        <c:axId val="606433664"/>
        <c:scaling>
          <c:orientation val="minMax"/>
          <c:max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Anlagewert in 1000 Euro</a:t>
                </a:r>
              </a:p>
            </c:rich>
          </c:tx>
          <c:layout>
            <c:manualLayout>
              <c:xMode val="edge"/>
              <c:yMode val="edge"/>
              <c:x val="0"/>
              <c:y val="0.21616193659245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6425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3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17430821147357"/>
          <c:y val="3.2407407407407406E-2"/>
          <c:w val="0.80155140607424069"/>
          <c:h val="0.81960575617702969"/>
        </c:manualLayout>
      </c:layout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marker>
            <c:symbol val="none"/>
          </c:marker>
          <c:xVal>
            <c:numRef>
              <c:f>'MaKo Formular3 ohne Formeln'!$R$37:$S$37</c:f>
              <c:numCache>
                <c:formatCode>General</c:formatCode>
                <c:ptCount val="2"/>
                <c:pt idx="0">
                  <c:v>0</c:v>
                </c:pt>
                <c:pt idx="1">
                  <c:v>11</c:v>
                </c:pt>
              </c:numCache>
            </c:numRef>
          </c:xVal>
          <c:yVal>
            <c:numRef>
              <c:f>'MaKo Formular3 ohne Formeln'!$R$38:$S$38</c:f>
              <c:numCache>
                <c:formatCode>General</c:formatCode>
                <c:ptCount val="2"/>
                <c:pt idx="0">
                  <c:v>90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BD-4816-BAD9-166DD7F96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425792"/>
        <c:axId val="606433664"/>
      </c:scatterChart>
      <c:valAx>
        <c:axId val="606425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Nutzungsdauer in Jahren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6433664"/>
        <c:crosses val="autoZero"/>
        <c:crossBetween val="midCat"/>
        <c:majorUnit val="1"/>
      </c:valAx>
      <c:valAx>
        <c:axId val="60643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Anlagewert in 1000 Euro</a:t>
                </a:r>
              </a:p>
            </c:rich>
          </c:tx>
          <c:layout>
            <c:manualLayout>
              <c:xMode val="edge"/>
              <c:yMode val="edge"/>
              <c:x val="0"/>
              <c:y val="0.2257542627315470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6425792"/>
        <c:crosses val="autoZero"/>
        <c:crossBetween val="midCat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17430821147357"/>
          <c:y val="3.2407407407407406E-2"/>
          <c:w val="0.80155140607424069"/>
          <c:h val="0.81960575617702969"/>
        </c:manualLayout>
      </c:layout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marker>
            <c:symbol val="none"/>
          </c:marker>
          <c:xVal>
            <c:numRef>
              <c:f>'MaKo Formular3 ohne Formeln'!$R$37:$S$37</c:f>
              <c:numCache>
                <c:formatCode>General</c:formatCode>
                <c:ptCount val="2"/>
                <c:pt idx="0">
                  <c:v>0</c:v>
                </c:pt>
                <c:pt idx="1">
                  <c:v>11</c:v>
                </c:pt>
              </c:numCache>
            </c:numRef>
          </c:xVal>
          <c:yVal>
            <c:numRef>
              <c:f>'MaKo Formular3 ohne Formeln'!$R$38:$S$38</c:f>
              <c:numCache>
                <c:formatCode>General</c:formatCode>
                <c:ptCount val="2"/>
                <c:pt idx="0">
                  <c:v>90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85-4BFA-B8C4-5802635FB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425792"/>
        <c:axId val="606433664"/>
      </c:scatterChart>
      <c:valAx>
        <c:axId val="606425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Nutzungsdauer in Jahren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6433664"/>
        <c:crosses val="autoZero"/>
        <c:crossBetween val="midCat"/>
        <c:majorUnit val="1"/>
      </c:valAx>
      <c:valAx>
        <c:axId val="60643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Anlagewert in 1000 Euro</a:t>
                </a:r>
              </a:p>
            </c:rich>
          </c:tx>
          <c:layout>
            <c:manualLayout>
              <c:xMode val="edge"/>
              <c:yMode val="edge"/>
              <c:x val="0"/>
              <c:y val="0.2257542627315470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6425792"/>
        <c:crosses val="autoZero"/>
        <c:crossBetween val="midCat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4" Type="http://schemas.openxmlformats.org/officeDocument/2006/relationships/chart" Target="../charts/chart21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4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4" Type="http://schemas.openxmlformats.org/officeDocument/2006/relationships/chart" Target="../charts/chart2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66675</xdr:colOff>
      <xdr:row>0</xdr:row>
      <xdr:rowOff>0</xdr:rowOff>
    </xdr:from>
    <xdr:to>
      <xdr:col>37</xdr:col>
      <xdr:colOff>133350</xdr:colOff>
      <xdr:row>5</xdr:row>
      <xdr:rowOff>0</xdr:rowOff>
    </xdr:to>
    <xdr:sp macro="" textlink="">
      <xdr:nvSpPr>
        <xdr:cNvPr id="3" name="Text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109335" y="0"/>
          <a:ext cx="3335655" cy="1409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Bemerkungen zum Ausdruck: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Um auch bei teilweisem Ausdruck dieses Moduls immer die richtigen Seitenzahlen zu erhalten sollte beim Ausdruck wie folgt vorgegangen werden: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1. Druckmenü aufrufen (Menü Datei - Drucken)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2. Option gesamte Arbeitsmappe drucken aktivieren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3. Ggf. Bereich eingeben: Z.B. Seiten von 2 bis 5</a:t>
          </a:r>
        </a:p>
      </xdr:txBody>
    </xdr:sp>
    <xdr:clientData fPrintsWithSheet="0"/>
  </xdr:twoCellAnchor>
  <xdr:twoCellAnchor editAs="oneCell">
    <xdr:from>
      <xdr:col>2</xdr:col>
      <xdr:colOff>38100</xdr:colOff>
      <xdr:row>0</xdr:row>
      <xdr:rowOff>57150</xdr:rowOff>
    </xdr:from>
    <xdr:to>
      <xdr:col>11</xdr:col>
      <xdr:colOff>228267</xdr:colOff>
      <xdr:row>1</xdr:row>
      <xdr:rowOff>132733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57150"/>
          <a:ext cx="2666667" cy="361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</xdr:colOff>
      <xdr:row>1411</xdr:row>
      <xdr:rowOff>121920</xdr:rowOff>
    </xdr:from>
    <xdr:to>
      <xdr:col>11</xdr:col>
      <xdr:colOff>342900</xdr:colOff>
      <xdr:row>1415</xdr:row>
      <xdr:rowOff>38100</xdr:rowOff>
    </xdr:to>
    <xdr:sp macro="" textlink="">
      <xdr:nvSpPr>
        <xdr:cNvPr id="2" name="Eckige Klammer links/rechts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1996440" y="230626920"/>
          <a:ext cx="1661160" cy="502920"/>
        </a:xfrm>
        <a:prstGeom prst="bracketPair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99060</xdr:colOff>
      <xdr:row>699</xdr:row>
      <xdr:rowOff>0</xdr:rowOff>
    </xdr:from>
    <xdr:to>
      <xdr:col>10</xdr:col>
      <xdr:colOff>373380</xdr:colOff>
      <xdr:row>709</xdr:row>
      <xdr:rowOff>0</xdr:rowOff>
    </xdr:to>
    <xdr:graphicFrame macro="">
      <xdr:nvGraphicFramePr>
        <xdr:cNvPr id="1640211" name="Diagramm 134">
          <a:extLst>
            <a:ext uri="{FF2B5EF4-FFF2-40B4-BE49-F238E27FC236}">
              <a16:creationId xmlns:a16="http://schemas.microsoft.com/office/drawing/2014/main" id="{00000000-0008-0000-0100-000013071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291</xdr:row>
      <xdr:rowOff>0</xdr:rowOff>
    </xdr:from>
    <xdr:to>
      <xdr:col>13</xdr:col>
      <xdr:colOff>0</xdr:colOff>
      <xdr:row>308</xdr:row>
      <xdr:rowOff>0</xdr:rowOff>
    </xdr:to>
    <xdr:graphicFrame macro="">
      <xdr:nvGraphicFramePr>
        <xdr:cNvPr id="1640212" name="Diagramm 40">
          <a:extLst>
            <a:ext uri="{FF2B5EF4-FFF2-40B4-BE49-F238E27FC236}">
              <a16:creationId xmlns:a16="http://schemas.microsoft.com/office/drawing/2014/main" id="{00000000-0008-0000-0100-000014071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239</xdr:row>
      <xdr:rowOff>0</xdr:rowOff>
    </xdr:from>
    <xdr:to>
      <xdr:col>13</xdr:col>
      <xdr:colOff>0</xdr:colOff>
      <xdr:row>256</xdr:row>
      <xdr:rowOff>0</xdr:rowOff>
    </xdr:to>
    <xdr:graphicFrame macro="">
      <xdr:nvGraphicFramePr>
        <xdr:cNvPr id="1640213" name="Diagramm 41">
          <a:extLst>
            <a:ext uri="{FF2B5EF4-FFF2-40B4-BE49-F238E27FC236}">
              <a16:creationId xmlns:a16="http://schemas.microsoft.com/office/drawing/2014/main" id="{00000000-0008-0000-0100-000015071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343</xdr:row>
      <xdr:rowOff>0</xdr:rowOff>
    </xdr:from>
    <xdr:to>
      <xdr:col>13</xdr:col>
      <xdr:colOff>0</xdr:colOff>
      <xdr:row>363</xdr:row>
      <xdr:rowOff>0</xdr:rowOff>
    </xdr:to>
    <xdr:graphicFrame macro="">
      <xdr:nvGraphicFramePr>
        <xdr:cNvPr id="1640214" name="Diagramm 42">
          <a:extLst>
            <a:ext uri="{FF2B5EF4-FFF2-40B4-BE49-F238E27FC236}">
              <a16:creationId xmlns:a16="http://schemas.microsoft.com/office/drawing/2014/main" id="{00000000-0008-0000-0100-000016071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415290</xdr:colOff>
      <xdr:row>342</xdr:row>
      <xdr:rowOff>137160</xdr:rowOff>
    </xdr:from>
    <xdr:to>
      <xdr:col>16</xdr:col>
      <xdr:colOff>386715</xdr:colOff>
      <xdr:row>344</xdr:row>
      <xdr:rowOff>76312</xdr:rowOff>
    </xdr:to>
    <xdr:sp macro="" textlink="">
      <xdr:nvSpPr>
        <xdr:cNvPr id="3117" name="Text Box 45">
          <a:extLst>
            <a:ext uri="{FF2B5EF4-FFF2-40B4-BE49-F238E27FC236}">
              <a16:creationId xmlns:a16="http://schemas.microsoft.com/office/drawing/2014/main" id="{00000000-0008-0000-0100-00002D0C0000}"/>
            </a:ext>
          </a:extLst>
        </xdr:cNvPr>
        <xdr:cNvSpPr txBox="1">
          <a:spLocks noChangeArrowheads="1"/>
        </xdr:cNvSpPr>
      </xdr:nvSpPr>
      <xdr:spPr bwMode="auto">
        <a:xfrm>
          <a:off x="4505325" y="61198125"/>
          <a:ext cx="12858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Wiederbeschaffungswert</a:t>
          </a:r>
        </a:p>
      </xdr:txBody>
    </xdr:sp>
    <xdr:clientData/>
  </xdr:twoCellAnchor>
  <xdr:twoCellAnchor editAs="oneCell">
    <xdr:from>
      <xdr:col>13</xdr:col>
      <xdr:colOff>415290</xdr:colOff>
      <xdr:row>348</xdr:row>
      <xdr:rowOff>146685</xdr:rowOff>
    </xdr:from>
    <xdr:to>
      <xdr:col>16</xdr:col>
      <xdr:colOff>415290</xdr:colOff>
      <xdr:row>352</xdr:row>
      <xdr:rowOff>87789</xdr:rowOff>
    </xdr:to>
    <xdr:sp macro="" textlink="">
      <xdr:nvSpPr>
        <xdr:cNvPr id="3118" name="Text Box 46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SpPr txBox="1">
          <a:spLocks noChangeArrowheads="1"/>
        </xdr:cNvSpPr>
      </xdr:nvSpPr>
      <xdr:spPr bwMode="auto">
        <a:xfrm>
          <a:off x="4505325" y="62293500"/>
          <a:ext cx="13144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Kumulierte Abschreibungs-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summe früherer Perioden</a:t>
          </a:r>
        </a:p>
      </xdr:txBody>
    </xdr:sp>
    <xdr:clientData/>
  </xdr:twoCellAnchor>
  <xdr:twoCellAnchor>
    <xdr:from>
      <xdr:col>12</xdr:col>
      <xdr:colOff>441960</xdr:colOff>
      <xdr:row>343</xdr:row>
      <xdr:rowOff>99060</xdr:rowOff>
    </xdr:from>
    <xdr:to>
      <xdr:col>13</xdr:col>
      <xdr:colOff>426720</xdr:colOff>
      <xdr:row>343</xdr:row>
      <xdr:rowOff>99060</xdr:rowOff>
    </xdr:to>
    <xdr:sp macro="" textlink="">
      <xdr:nvSpPr>
        <xdr:cNvPr id="1640217" name="Line 47">
          <a:extLst>
            <a:ext uri="{FF2B5EF4-FFF2-40B4-BE49-F238E27FC236}">
              <a16:creationId xmlns:a16="http://schemas.microsoft.com/office/drawing/2014/main" id="{00000000-0008-0000-0100-000019071900}"/>
            </a:ext>
          </a:extLst>
        </xdr:cNvPr>
        <xdr:cNvSpPr>
          <a:spLocks noChangeShapeType="1"/>
        </xdr:cNvSpPr>
      </xdr:nvSpPr>
      <xdr:spPr bwMode="auto">
        <a:xfrm flipH="1">
          <a:off x="4206240" y="61821060"/>
          <a:ext cx="4343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441960</xdr:colOff>
      <xdr:row>350</xdr:row>
      <xdr:rowOff>129540</xdr:rowOff>
    </xdr:from>
    <xdr:to>
      <xdr:col>13</xdr:col>
      <xdr:colOff>426720</xdr:colOff>
      <xdr:row>350</xdr:row>
      <xdr:rowOff>129540</xdr:rowOff>
    </xdr:to>
    <xdr:sp macro="" textlink="">
      <xdr:nvSpPr>
        <xdr:cNvPr id="1640218" name="Line 48">
          <a:extLst>
            <a:ext uri="{FF2B5EF4-FFF2-40B4-BE49-F238E27FC236}">
              <a16:creationId xmlns:a16="http://schemas.microsoft.com/office/drawing/2014/main" id="{00000000-0008-0000-0100-00001A071900}"/>
            </a:ext>
          </a:extLst>
        </xdr:cNvPr>
        <xdr:cNvSpPr>
          <a:spLocks noChangeShapeType="1"/>
        </xdr:cNvSpPr>
      </xdr:nvSpPr>
      <xdr:spPr bwMode="auto">
        <a:xfrm flipH="1">
          <a:off x="4206240" y="63078360"/>
          <a:ext cx="4343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13</xdr:col>
      <xdr:colOff>415290</xdr:colOff>
      <xdr:row>356</xdr:row>
      <xdr:rowOff>99060</xdr:rowOff>
    </xdr:from>
    <xdr:to>
      <xdr:col>16</xdr:col>
      <xdr:colOff>415290</xdr:colOff>
      <xdr:row>358</xdr:row>
      <xdr:rowOff>99060</xdr:rowOff>
    </xdr:to>
    <xdr:sp macro="" textlink="">
      <xdr:nvSpPr>
        <xdr:cNvPr id="3121" name="Text Box 49">
          <a:extLst>
            <a:ext uri="{FF2B5EF4-FFF2-40B4-BE49-F238E27FC236}">
              <a16:creationId xmlns:a16="http://schemas.microsoft.com/office/drawing/2014/main" id="{00000000-0008-0000-0100-0000310C0000}"/>
            </a:ext>
          </a:extLst>
        </xdr:cNvPr>
        <xdr:cNvSpPr txBox="1">
          <a:spLocks noChangeArrowheads="1"/>
        </xdr:cNvSpPr>
      </xdr:nvSpPr>
      <xdr:spPr bwMode="auto">
        <a:xfrm>
          <a:off x="4505325" y="63693675"/>
          <a:ext cx="13144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Nachholabschreibung in Folge der Preissteigerung</a:t>
          </a:r>
        </a:p>
      </xdr:txBody>
    </xdr:sp>
    <xdr:clientData/>
  </xdr:twoCellAnchor>
  <xdr:twoCellAnchor>
    <xdr:from>
      <xdr:col>12</xdr:col>
      <xdr:colOff>441960</xdr:colOff>
      <xdr:row>357</xdr:row>
      <xdr:rowOff>99060</xdr:rowOff>
    </xdr:from>
    <xdr:to>
      <xdr:col>13</xdr:col>
      <xdr:colOff>426720</xdr:colOff>
      <xdr:row>357</xdr:row>
      <xdr:rowOff>99060</xdr:rowOff>
    </xdr:to>
    <xdr:sp macro="" textlink="">
      <xdr:nvSpPr>
        <xdr:cNvPr id="1640220" name="Line 50">
          <a:extLst>
            <a:ext uri="{FF2B5EF4-FFF2-40B4-BE49-F238E27FC236}">
              <a16:creationId xmlns:a16="http://schemas.microsoft.com/office/drawing/2014/main" id="{00000000-0008-0000-0100-00001C071900}"/>
            </a:ext>
          </a:extLst>
        </xdr:cNvPr>
        <xdr:cNvSpPr>
          <a:spLocks noChangeShapeType="1"/>
        </xdr:cNvSpPr>
      </xdr:nvSpPr>
      <xdr:spPr bwMode="auto">
        <a:xfrm flipH="1">
          <a:off x="4206240" y="64274700"/>
          <a:ext cx="4343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13</xdr:col>
      <xdr:colOff>415290</xdr:colOff>
      <xdr:row>358</xdr:row>
      <xdr:rowOff>123825</xdr:rowOff>
    </xdr:from>
    <xdr:to>
      <xdr:col>16</xdr:col>
      <xdr:colOff>377190</xdr:colOff>
      <xdr:row>360</xdr:row>
      <xdr:rowOff>99244</xdr:rowOff>
    </xdr:to>
    <xdr:sp macro="" textlink="">
      <xdr:nvSpPr>
        <xdr:cNvPr id="3123" name="Text Box 51">
          <a:extLst>
            <a:ext uri="{FF2B5EF4-FFF2-40B4-BE49-F238E27FC236}">
              <a16:creationId xmlns:a16="http://schemas.microsoft.com/office/drawing/2014/main" id="{00000000-0008-0000-0100-0000330C0000}"/>
            </a:ext>
          </a:extLst>
        </xdr:cNvPr>
        <xdr:cNvSpPr txBox="1">
          <a:spLocks noChangeArrowheads="1"/>
        </xdr:cNvSpPr>
      </xdr:nvSpPr>
      <xdr:spPr bwMode="auto">
        <a:xfrm>
          <a:off x="4505325" y="64074675"/>
          <a:ext cx="12763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Nominalabschreibung vom Wiederbeschaffungswert</a:t>
          </a:r>
        </a:p>
      </xdr:txBody>
    </xdr:sp>
    <xdr:clientData/>
  </xdr:twoCellAnchor>
  <xdr:twoCellAnchor>
    <xdr:from>
      <xdr:col>12</xdr:col>
      <xdr:colOff>441960</xdr:colOff>
      <xdr:row>359</xdr:row>
      <xdr:rowOff>114300</xdr:rowOff>
    </xdr:from>
    <xdr:to>
      <xdr:col>13</xdr:col>
      <xdr:colOff>426720</xdr:colOff>
      <xdr:row>359</xdr:row>
      <xdr:rowOff>114300</xdr:rowOff>
    </xdr:to>
    <xdr:sp macro="" textlink="">
      <xdr:nvSpPr>
        <xdr:cNvPr id="1640222" name="Line 52">
          <a:extLst>
            <a:ext uri="{FF2B5EF4-FFF2-40B4-BE49-F238E27FC236}">
              <a16:creationId xmlns:a16="http://schemas.microsoft.com/office/drawing/2014/main" id="{00000000-0008-0000-0100-00001E071900}"/>
            </a:ext>
          </a:extLst>
        </xdr:cNvPr>
        <xdr:cNvSpPr>
          <a:spLocks noChangeShapeType="1"/>
        </xdr:cNvSpPr>
      </xdr:nvSpPr>
      <xdr:spPr bwMode="auto">
        <a:xfrm flipH="1">
          <a:off x="4206240" y="64640460"/>
          <a:ext cx="4343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163</xdr:row>
      <xdr:rowOff>0</xdr:rowOff>
    </xdr:from>
    <xdr:to>
      <xdr:col>13</xdr:col>
      <xdr:colOff>0</xdr:colOff>
      <xdr:row>179</xdr:row>
      <xdr:rowOff>167640</xdr:rowOff>
    </xdr:to>
    <xdr:graphicFrame macro="">
      <xdr:nvGraphicFramePr>
        <xdr:cNvPr id="1640223" name="Diagramm 65">
          <a:extLst>
            <a:ext uri="{FF2B5EF4-FFF2-40B4-BE49-F238E27FC236}">
              <a16:creationId xmlns:a16="http://schemas.microsoft.com/office/drawing/2014/main" id="{00000000-0008-0000-0100-00001F071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13</xdr:col>
      <xdr:colOff>415290</xdr:colOff>
      <xdr:row>167</xdr:row>
      <xdr:rowOff>60960</xdr:rowOff>
    </xdr:from>
    <xdr:to>
      <xdr:col>16</xdr:col>
      <xdr:colOff>415290</xdr:colOff>
      <xdr:row>171</xdr:row>
      <xdr:rowOff>9620</xdr:rowOff>
    </xdr:to>
    <xdr:sp macro="" textlink="">
      <xdr:nvSpPr>
        <xdr:cNvPr id="3138" name="Text Box 66">
          <a:extLst>
            <a:ext uri="{FF2B5EF4-FFF2-40B4-BE49-F238E27FC236}">
              <a16:creationId xmlns:a16="http://schemas.microsoft.com/office/drawing/2014/main" id="{00000000-0008-0000-0100-0000420C0000}"/>
            </a:ext>
          </a:extLst>
        </xdr:cNvPr>
        <xdr:cNvSpPr txBox="1">
          <a:spLocks noChangeArrowheads="1"/>
        </xdr:cNvSpPr>
      </xdr:nvSpPr>
      <xdr:spPr bwMode="auto">
        <a:xfrm>
          <a:off x="4505325" y="28984575"/>
          <a:ext cx="13144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Kumulierte Abschreibungs-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summe früherer Perioden</a:t>
          </a:r>
        </a:p>
      </xdr:txBody>
    </xdr:sp>
    <xdr:clientData/>
  </xdr:twoCellAnchor>
  <xdr:twoCellAnchor>
    <xdr:from>
      <xdr:col>12</xdr:col>
      <xdr:colOff>441960</xdr:colOff>
      <xdr:row>169</xdr:row>
      <xdr:rowOff>45720</xdr:rowOff>
    </xdr:from>
    <xdr:to>
      <xdr:col>13</xdr:col>
      <xdr:colOff>426720</xdr:colOff>
      <xdr:row>169</xdr:row>
      <xdr:rowOff>45720</xdr:rowOff>
    </xdr:to>
    <xdr:sp macro="" textlink="">
      <xdr:nvSpPr>
        <xdr:cNvPr id="1640225" name="Line 67">
          <a:extLst>
            <a:ext uri="{FF2B5EF4-FFF2-40B4-BE49-F238E27FC236}">
              <a16:creationId xmlns:a16="http://schemas.microsoft.com/office/drawing/2014/main" id="{00000000-0008-0000-0100-000021071900}"/>
            </a:ext>
          </a:extLst>
        </xdr:cNvPr>
        <xdr:cNvSpPr>
          <a:spLocks noChangeShapeType="1"/>
        </xdr:cNvSpPr>
      </xdr:nvSpPr>
      <xdr:spPr bwMode="auto">
        <a:xfrm flipH="1">
          <a:off x="4206240" y="30937200"/>
          <a:ext cx="4343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13</xdr:col>
      <xdr:colOff>415290</xdr:colOff>
      <xdr:row>175</xdr:row>
      <xdr:rowOff>99060</xdr:rowOff>
    </xdr:from>
    <xdr:to>
      <xdr:col>16</xdr:col>
      <xdr:colOff>377190</xdr:colOff>
      <xdr:row>177</xdr:row>
      <xdr:rowOff>85911</xdr:rowOff>
    </xdr:to>
    <xdr:sp macro="" textlink="">
      <xdr:nvSpPr>
        <xdr:cNvPr id="3140" name="Text Box 68">
          <a:extLst>
            <a:ext uri="{FF2B5EF4-FFF2-40B4-BE49-F238E27FC236}">
              <a16:creationId xmlns:a16="http://schemas.microsoft.com/office/drawing/2014/main" id="{00000000-0008-0000-0100-0000440C0000}"/>
            </a:ext>
          </a:extLst>
        </xdr:cNvPr>
        <xdr:cNvSpPr txBox="1">
          <a:spLocks noChangeArrowheads="1"/>
        </xdr:cNvSpPr>
      </xdr:nvSpPr>
      <xdr:spPr bwMode="auto">
        <a:xfrm>
          <a:off x="4505325" y="30470475"/>
          <a:ext cx="12763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Jährliche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Abschreibung</a:t>
          </a:r>
        </a:p>
      </xdr:txBody>
    </xdr:sp>
    <xdr:clientData/>
  </xdr:twoCellAnchor>
  <xdr:twoCellAnchor>
    <xdr:from>
      <xdr:col>12</xdr:col>
      <xdr:colOff>441960</xdr:colOff>
      <xdr:row>176</xdr:row>
      <xdr:rowOff>91440</xdr:rowOff>
    </xdr:from>
    <xdr:to>
      <xdr:col>13</xdr:col>
      <xdr:colOff>426720</xdr:colOff>
      <xdr:row>176</xdr:row>
      <xdr:rowOff>91440</xdr:rowOff>
    </xdr:to>
    <xdr:sp macro="" textlink="">
      <xdr:nvSpPr>
        <xdr:cNvPr id="1640227" name="Line 69">
          <a:extLst>
            <a:ext uri="{FF2B5EF4-FFF2-40B4-BE49-F238E27FC236}">
              <a16:creationId xmlns:a16="http://schemas.microsoft.com/office/drawing/2014/main" id="{00000000-0008-0000-0100-000023071900}"/>
            </a:ext>
          </a:extLst>
        </xdr:cNvPr>
        <xdr:cNvSpPr>
          <a:spLocks noChangeShapeType="1"/>
        </xdr:cNvSpPr>
      </xdr:nvSpPr>
      <xdr:spPr bwMode="auto">
        <a:xfrm flipH="1">
          <a:off x="4206240" y="32209740"/>
          <a:ext cx="4343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13</xdr:col>
      <xdr:colOff>415290</xdr:colOff>
      <xdr:row>244</xdr:row>
      <xdr:rowOff>28575</xdr:rowOff>
    </xdr:from>
    <xdr:to>
      <xdr:col>16</xdr:col>
      <xdr:colOff>415290</xdr:colOff>
      <xdr:row>247</xdr:row>
      <xdr:rowOff>146645</xdr:rowOff>
    </xdr:to>
    <xdr:sp macro="" textlink="">
      <xdr:nvSpPr>
        <xdr:cNvPr id="3142" name="Text Box 70">
          <a:extLst>
            <a:ext uri="{FF2B5EF4-FFF2-40B4-BE49-F238E27FC236}">
              <a16:creationId xmlns:a16="http://schemas.microsoft.com/office/drawing/2014/main" id="{00000000-0008-0000-0100-0000460C0000}"/>
            </a:ext>
          </a:extLst>
        </xdr:cNvPr>
        <xdr:cNvSpPr txBox="1">
          <a:spLocks noChangeArrowheads="1"/>
        </xdr:cNvSpPr>
      </xdr:nvSpPr>
      <xdr:spPr bwMode="auto">
        <a:xfrm>
          <a:off x="4505325" y="42995850"/>
          <a:ext cx="13144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Kumulierte Abschreibungs-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summe früherer Perioden</a:t>
          </a:r>
        </a:p>
      </xdr:txBody>
    </xdr:sp>
    <xdr:clientData/>
  </xdr:twoCellAnchor>
  <xdr:twoCellAnchor>
    <xdr:from>
      <xdr:col>12</xdr:col>
      <xdr:colOff>441960</xdr:colOff>
      <xdr:row>246</xdr:row>
      <xdr:rowOff>7620</xdr:rowOff>
    </xdr:from>
    <xdr:to>
      <xdr:col>13</xdr:col>
      <xdr:colOff>426720</xdr:colOff>
      <xdr:row>246</xdr:row>
      <xdr:rowOff>7620</xdr:rowOff>
    </xdr:to>
    <xdr:sp macro="" textlink="">
      <xdr:nvSpPr>
        <xdr:cNvPr id="1640229" name="Line 71">
          <a:extLst>
            <a:ext uri="{FF2B5EF4-FFF2-40B4-BE49-F238E27FC236}">
              <a16:creationId xmlns:a16="http://schemas.microsoft.com/office/drawing/2014/main" id="{00000000-0008-0000-0100-000025071900}"/>
            </a:ext>
          </a:extLst>
        </xdr:cNvPr>
        <xdr:cNvSpPr>
          <a:spLocks noChangeShapeType="1"/>
        </xdr:cNvSpPr>
      </xdr:nvSpPr>
      <xdr:spPr bwMode="auto">
        <a:xfrm flipH="1">
          <a:off x="4206240" y="44546520"/>
          <a:ext cx="4343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13</xdr:col>
      <xdr:colOff>415290</xdr:colOff>
      <xdr:row>252</xdr:row>
      <xdr:rowOff>60960</xdr:rowOff>
    </xdr:from>
    <xdr:to>
      <xdr:col>16</xdr:col>
      <xdr:colOff>377190</xdr:colOff>
      <xdr:row>254</xdr:row>
      <xdr:rowOff>47811</xdr:rowOff>
    </xdr:to>
    <xdr:sp macro="" textlink="">
      <xdr:nvSpPr>
        <xdr:cNvPr id="3144" name="Text Box 72">
          <a:extLst>
            <a:ext uri="{FF2B5EF4-FFF2-40B4-BE49-F238E27FC236}">
              <a16:creationId xmlns:a16="http://schemas.microsoft.com/office/drawing/2014/main" id="{00000000-0008-0000-0100-0000480C0000}"/>
            </a:ext>
          </a:extLst>
        </xdr:cNvPr>
        <xdr:cNvSpPr txBox="1">
          <a:spLocks noChangeArrowheads="1"/>
        </xdr:cNvSpPr>
      </xdr:nvSpPr>
      <xdr:spPr bwMode="auto">
        <a:xfrm>
          <a:off x="4505325" y="44481750"/>
          <a:ext cx="12763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Jährliche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Abschreibung</a:t>
          </a:r>
        </a:p>
      </xdr:txBody>
    </xdr:sp>
    <xdr:clientData/>
  </xdr:twoCellAnchor>
  <xdr:twoCellAnchor>
    <xdr:from>
      <xdr:col>12</xdr:col>
      <xdr:colOff>441960</xdr:colOff>
      <xdr:row>253</xdr:row>
      <xdr:rowOff>53340</xdr:rowOff>
    </xdr:from>
    <xdr:to>
      <xdr:col>13</xdr:col>
      <xdr:colOff>426720</xdr:colOff>
      <xdr:row>253</xdr:row>
      <xdr:rowOff>53340</xdr:rowOff>
    </xdr:to>
    <xdr:sp macro="" textlink="">
      <xdr:nvSpPr>
        <xdr:cNvPr id="1640231" name="Line 73">
          <a:extLst>
            <a:ext uri="{FF2B5EF4-FFF2-40B4-BE49-F238E27FC236}">
              <a16:creationId xmlns:a16="http://schemas.microsoft.com/office/drawing/2014/main" id="{00000000-0008-0000-0100-000027071900}"/>
            </a:ext>
          </a:extLst>
        </xdr:cNvPr>
        <xdr:cNvSpPr>
          <a:spLocks noChangeShapeType="1"/>
        </xdr:cNvSpPr>
      </xdr:nvSpPr>
      <xdr:spPr bwMode="auto">
        <a:xfrm flipH="1">
          <a:off x="4206240" y="45819060"/>
          <a:ext cx="4343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13</xdr:col>
      <xdr:colOff>415290</xdr:colOff>
      <xdr:row>296</xdr:row>
      <xdr:rowOff>114300</xdr:rowOff>
    </xdr:from>
    <xdr:to>
      <xdr:col>16</xdr:col>
      <xdr:colOff>415290</xdr:colOff>
      <xdr:row>300</xdr:row>
      <xdr:rowOff>49575</xdr:rowOff>
    </xdr:to>
    <xdr:sp macro="" textlink="">
      <xdr:nvSpPr>
        <xdr:cNvPr id="3146" name="Text Box 74">
          <a:extLst>
            <a:ext uri="{FF2B5EF4-FFF2-40B4-BE49-F238E27FC236}">
              <a16:creationId xmlns:a16="http://schemas.microsoft.com/office/drawing/2014/main" id="{00000000-0008-0000-0100-00004A0C0000}"/>
            </a:ext>
          </a:extLst>
        </xdr:cNvPr>
        <xdr:cNvSpPr txBox="1">
          <a:spLocks noChangeArrowheads="1"/>
        </xdr:cNvSpPr>
      </xdr:nvSpPr>
      <xdr:spPr bwMode="auto">
        <a:xfrm>
          <a:off x="4505325" y="52492275"/>
          <a:ext cx="13144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Kumulierte Abschreibungs-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summe früherer Perioden</a:t>
          </a:r>
        </a:p>
      </xdr:txBody>
    </xdr:sp>
    <xdr:clientData/>
  </xdr:twoCellAnchor>
  <xdr:twoCellAnchor>
    <xdr:from>
      <xdr:col>12</xdr:col>
      <xdr:colOff>441960</xdr:colOff>
      <xdr:row>298</xdr:row>
      <xdr:rowOff>91440</xdr:rowOff>
    </xdr:from>
    <xdr:to>
      <xdr:col>13</xdr:col>
      <xdr:colOff>426720</xdr:colOff>
      <xdr:row>298</xdr:row>
      <xdr:rowOff>91440</xdr:rowOff>
    </xdr:to>
    <xdr:sp macro="" textlink="">
      <xdr:nvSpPr>
        <xdr:cNvPr id="1640233" name="Line 75">
          <a:extLst>
            <a:ext uri="{FF2B5EF4-FFF2-40B4-BE49-F238E27FC236}">
              <a16:creationId xmlns:a16="http://schemas.microsoft.com/office/drawing/2014/main" id="{00000000-0008-0000-0100-000029071900}"/>
            </a:ext>
          </a:extLst>
        </xdr:cNvPr>
        <xdr:cNvSpPr>
          <a:spLocks noChangeShapeType="1"/>
        </xdr:cNvSpPr>
      </xdr:nvSpPr>
      <xdr:spPr bwMode="auto">
        <a:xfrm flipH="1">
          <a:off x="4206240" y="53743860"/>
          <a:ext cx="4343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13</xdr:col>
      <xdr:colOff>415290</xdr:colOff>
      <xdr:row>304</xdr:row>
      <xdr:rowOff>146685</xdr:rowOff>
    </xdr:from>
    <xdr:to>
      <xdr:col>16</xdr:col>
      <xdr:colOff>377190</xdr:colOff>
      <xdr:row>306</xdr:row>
      <xdr:rowOff>126038</xdr:rowOff>
    </xdr:to>
    <xdr:sp macro="" textlink="">
      <xdr:nvSpPr>
        <xdr:cNvPr id="3148" name="Text Box 76">
          <a:extLst>
            <a:ext uri="{FF2B5EF4-FFF2-40B4-BE49-F238E27FC236}">
              <a16:creationId xmlns:a16="http://schemas.microsoft.com/office/drawing/2014/main" id="{00000000-0008-0000-0100-00004C0C0000}"/>
            </a:ext>
          </a:extLst>
        </xdr:cNvPr>
        <xdr:cNvSpPr txBox="1">
          <a:spLocks noChangeArrowheads="1"/>
        </xdr:cNvSpPr>
      </xdr:nvSpPr>
      <xdr:spPr bwMode="auto">
        <a:xfrm>
          <a:off x="4505325" y="53978175"/>
          <a:ext cx="12763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Jährliche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Abschreibung</a:t>
          </a:r>
        </a:p>
      </xdr:txBody>
    </xdr:sp>
    <xdr:clientData/>
  </xdr:twoCellAnchor>
  <xdr:twoCellAnchor>
    <xdr:from>
      <xdr:col>12</xdr:col>
      <xdr:colOff>441960</xdr:colOff>
      <xdr:row>305</xdr:row>
      <xdr:rowOff>137160</xdr:rowOff>
    </xdr:from>
    <xdr:to>
      <xdr:col>13</xdr:col>
      <xdr:colOff>426720</xdr:colOff>
      <xdr:row>305</xdr:row>
      <xdr:rowOff>137160</xdr:rowOff>
    </xdr:to>
    <xdr:sp macro="" textlink="">
      <xdr:nvSpPr>
        <xdr:cNvPr id="1640235" name="Line 77">
          <a:extLst>
            <a:ext uri="{FF2B5EF4-FFF2-40B4-BE49-F238E27FC236}">
              <a16:creationId xmlns:a16="http://schemas.microsoft.com/office/drawing/2014/main" id="{00000000-0008-0000-0100-00002B071900}"/>
            </a:ext>
          </a:extLst>
        </xdr:cNvPr>
        <xdr:cNvSpPr>
          <a:spLocks noChangeShapeType="1"/>
        </xdr:cNvSpPr>
      </xdr:nvSpPr>
      <xdr:spPr bwMode="auto">
        <a:xfrm flipH="1">
          <a:off x="4206240" y="55016400"/>
          <a:ext cx="4343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</xdr:colOff>
      <xdr:row>386</xdr:row>
      <xdr:rowOff>0</xdr:rowOff>
    </xdr:from>
    <xdr:to>
      <xdr:col>13</xdr:col>
      <xdr:colOff>0</xdr:colOff>
      <xdr:row>406</xdr:row>
      <xdr:rowOff>0</xdr:rowOff>
    </xdr:to>
    <xdr:graphicFrame macro="">
      <xdr:nvGraphicFramePr>
        <xdr:cNvPr id="1640236" name="Diagramm 82">
          <a:extLst>
            <a:ext uri="{FF2B5EF4-FFF2-40B4-BE49-F238E27FC236}">
              <a16:creationId xmlns:a16="http://schemas.microsoft.com/office/drawing/2014/main" id="{00000000-0008-0000-0100-00002C071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13</xdr:col>
      <xdr:colOff>415290</xdr:colOff>
      <xdr:row>391</xdr:row>
      <xdr:rowOff>114300</xdr:rowOff>
    </xdr:from>
    <xdr:to>
      <xdr:col>16</xdr:col>
      <xdr:colOff>415290</xdr:colOff>
      <xdr:row>395</xdr:row>
      <xdr:rowOff>49575</xdr:rowOff>
    </xdr:to>
    <xdr:sp macro="" textlink="">
      <xdr:nvSpPr>
        <xdr:cNvPr id="3155" name="Text Box 83">
          <a:extLst>
            <a:ext uri="{FF2B5EF4-FFF2-40B4-BE49-F238E27FC236}">
              <a16:creationId xmlns:a16="http://schemas.microsoft.com/office/drawing/2014/main" id="{00000000-0008-0000-0100-0000530C0000}"/>
            </a:ext>
          </a:extLst>
        </xdr:cNvPr>
        <xdr:cNvSpPr txBox="1">
          <a:spLocks noChangeArrowheads="1"/>
        </xdr:cNvSpPr>
      </xdr:nvSpPr>
      <xdr:spPr bwMode="auto">
        <a:xfrm>
          <a:off x="4505325" y="70151625"/>
          <a:ext cx="13144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Kumulierte Abschreibungs-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summe früherer Perioden</a:t>
          </a:r>
        </a:p>
      </xdr:txBody>
    </xdr:sp>
    <xdr:clientData/>
  </xdr:twoCellAnchor>
  <xdr:twoCellAnchor>
    <xdr:from>
      <xdr:col>12</xdr:col>
      <xdr:colOff>441960</xdr:colOff>
      <xdr:row>393</xdr:row>
      <xdr:rowOff>83820</xdr:rowOff>
    </xdr:from>
    <xdr:to>
      <xdr:col>13</xdr:col>
      <xdr:colOff>426720</xdr:colOff>
      <xdr:row>393</xdr:row>
      <xdr:rowOff>83820</xdr:rowOff>
    </xdr:to>
    <xdr:sp macro="" textlink="">
      <xdr:nvSpPr>
        <xdr:cNvPr id="1640238" name="Line 84">
          <a:extLst>
            <a:ext uri="{FF2B5EF4-FFF2-40B4-BE49-F238E27FC236}">
              <a16:creationId xmlns:a16="http://schemas.microsoft.com/office/drawing/2014/main" id="{00000000-0008-0000-0100-00002E071900}"/>
            </a:ext>
          </a:extLst>
        </xdr:cNvPr>
        <xdr:cNvSpPr>
          <a:spLocks noChangeShapeType="1"/>
        </xdr:cNvSpPr>
      </xdr:nvSpPr>
      <xdr:spPr bwMode="auto">
        <a:xfrm flipH="1">
          <a:off x="4206240" y="70690740"/>
          <a:ext cx="4343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13</xdr:col>
      <xdr:colOff>415290</xdr:colOff>
      <xdr:row>400</xdr:row>
      <xdr:rowOff>38100</xdr:rowOff>
    </xdr:from>
    <xdr:to>
      <xdr:col>16</xdr:col>
      <xdr:colOff>377190</xdr:colOff>
      <xdr:row>402</xdr:row>
      <xdr:rowOff>11517</xdr:rowOff>
    </xdr:to>
    <xdr:sp macro="" textlink="">
      <xdr:nvSpPr>
        <xdr:cNvPr id="3157" name="Text Box 85">
          <a:extLst>
            <a:ext uri="{FF2B5EF4-FFF2-40B4-BE49-F238E27FC236}">
              <a16:creationId xmlns:a16="http://schemas.microsoft.com/office/drawing/2014/main" id="{00000000-0008-0000-0100-0000550C0000}"/>
            </a:ext>
          </a:extLst>
        </xdr:cNvPr>
        <xdr:cNvSpPr txBox="1">
          <a:spLocks noChangeArrowheads="1"/>
        </xdr:cNvSpPr>
      </xdr:nvSpPr>
      <xdr:spPr bwMode="auto">
        <a:xfrm>
          <a:off x="4505325" y="71704200"/>
          <a:ext cx="12763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Jährliche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Abschreibung</a:t>
          </a:r>
        </a:p>
      </xdr:txBody>
    </xdr:sp>
    <xdr:clientData/>
  </xdr:twoCellAnchor>
  <xdr:twoCellAnchor>
    <xdr:from>
      <xdr:col>12</xdr:col>
      <xdr:colOff>441960</xdr:colOff>
      <xdr:row>401</xdr:row>
      <xdr:rowOff>30480</xdr:rowOff>
    </xdr:from>
    <xdr:to>
      <xdr:col>13</xdr:col>
      <xdr:colOff>426720</xdr:colOff>
      <xdr:row>401</xdr:row>
      <xdr:rowOff>30480</xdr:rowOff>
    </xdr:to>
    <xdr:sp macro="" textlink="">
      <xdr:nvSpPr>
        <xdr:cNvPr id="1640240" name="Line 86">
          <a:extLst>
            <a:ext uri="{FF2B5EF4-FFF2-40B4-BE49-F238E27FC236}">
              <a16:creationId xmlns:a16="http://schemas.microsoft.com/office/drawing/2014/main" id="{00000000-0008-0000-0100-000030071900}"/>
            </a:ext>
          </a:extLst>
        </xdr:cNvPr>
        <xdr:cNvSpPr>
          <a:spLocks noChangeShapeType="1"/>
        </xdr:cNvSpPr>
      </xdr:nvSpPr>
      <xdr:spPr bwMode="auto">
        <a:xfrm flipH="1">
          <a:off x="4206240" y="72039480"/>
          <a:ext cx="4343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13</xdr:col>
      <xdr:colOff>415290</xdr:colOff>
      <xdr:row>403</xdr:row>
      <xdr:rowOff>76200</xdr:rowOff>
    </xdr:from>
    <xdr:to>
      <xdr:col>16</xdr:col>
      <xdr:colOff>377190</xdr:colOff>
      <xdr:row>404</xdr:row>
      <xdr:rowOff>61155</xdr:rowOff>
    </xdr:to>
    <xdr:sp macro="" textlink="">
      <xdr:nvSpPr>
        <xdr:cNvPr id="3159" name="Text Box 87">
          <a:extLst>
            <a:ext uri="{FF2B5EF4-FFF2-40B4-BE49-F238E27FC236}">
              <a16:creationId xmlns:a16="http://schemas.microsoft.com/office/drawing/2014/main" id="{00000000-0008-0000-0100-0000570C0000}"/>
            </a:ext>
          </a:extLst>
        </xdr:cNvPr>
        <xdr:cNvSpPr txBox="1">
          <a:spLocks noChangeArrowheads="1"/>
        </xdr:cNvSpPr>
      </xdr:nvSpPr>
      <xdr:spPr bwMode="auto">
        <a:xfrm>
          <a:off x="4505325" y="72285225"/>
          <a:ext cx="127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Jährliche Leistung</a:t>
          </a:r>
        </a:p>
      </xdr:txBody>
    </xdr:sp>
    <xdr:clientData/>
  </xdr:twoCellAnchor>
  <xdr:twoCellAnchor>
    <xdr:from>
      <xdr:col>12</xdr:col>
      <xdr:colOff>441960</xdr:colOff>
      <xdr:row>403</xdr:row>
      <xdr:rowOff>160020</xdr:rowOff>
    </xdr:from>
    <xdr:to>
      <xdr:col>13</xdr:col>
      <xdr:colOff>426720</xdr:colOff>
      <xdr:row>403</xdr:row>
      <xdr:rowOff>160020</xdr:rowOff>
    </xdr:to>
    <xdr:sp macro="" textlink="">
      <xdr:nvSpPr>
        <xdr:cNvPr id="1640242" name="Line 88">
          <a:extLst>
            <a:ext uri="{FF2B5EF4-FFF2-40B4-BE49-F238E27FC236}">
              <a16:creationId xmlns:a16="http://schemas.microsoft.com/office/drawing/2014/main" id="{00000000-0008-0000-0100-000032071900}"/>
            </a:ext>
          </a:extLst>
        </xdr:cNvPr>
        <xdr:cNvSpPr>
          <a:spLocks noChangeShapeType="1"/>
        </xdr:cNvSpPr>
      </xdr:nvSpPr>
      <xdr:spPr bwMode="auto">
        <a:xfrm flipH="1">
          <a:off x="4206240" y="72519540"/>
          <a:ext cx="4343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13</xdr:col>
      <xdr:colOff>415290</xdr:colOff>
      <xdr:row>404</xdr:row>
      <xdr:rowOff>114300</xdr:rowOff>
    </xdr:from>
    <xdr:to>
      <xdr:col>16</xdr:col>
      <xdr:colOff>377190</xdr:colOff>
      <xdr:row>406</xdr:row>
      <xdr:rowOff>47625</xdr:rowOff>
    </xdr:to>
    <xdr:sp macro="" textlink="">
      <xdr:nvSpPr>
        <xdr:cNvPr id="3161" name="Text Box 89">
          <a:extLst>
            <a:ext uri="{FF2B5EF4-FFF2-40B4-BE49-F238E27FC236}">
              <a16:creationId xmlns:a16="http://schemas.microsoft.com/office/drawing/2014/main" id="{00000000-0008-0000-0100-0000590C0000}"/>
            </a:ext>
          </a:extLst>
        </xdr:cNvPr>
        <xdr:cNvSpPr txBox="1">
          <a:spLocks noChangeArrowheads="1"/>
        </xdr:cNvSpPr>
      </xdr:nvSpPr>
      <xdr:spPr bwMode="auto">
        <a:xfrm>
          <a:off x="4505325" y="72504300"/>
          <a:ext cx="12763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Anteil an Gesamtleistung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= Anteil an Gesamt-AfA</a:t>
          </a:r>
        </a:p>
      </xdr:txBody>
    </xdr:sp>
    <xdr:clientData/>
  </xdr:twoCellAnchor>
  <xdr:twoCellAnchor>
    <xdr:from>
      <xdr:col>12</xdr:col>
      <xdr:colOff>441960</xdr:colOff>
      <xdr:row>405</xdr:row>
      <xdr:rowOff>15240</xdr:rowOff>
    </xdr:from>
    <xdr:to>
      <xdr:col>13</xdr:col>
      <xdr:colOff>426720</xdr:colOff>
      <xdr:row>405</xdr:row>
      <xdr:rowOff>15240</xdr:rowOff>
    </xdr:to>
    <xdr:sp macro="" textlink="">
      <xdr:nvSpPr>
        <xdr:cNvPr id="1640244" name="Line 90">
          <a:extLst>
            <a:ext uri="{FF2B5EF4-FFF2-40B4-BE49-F238E27FC236}">
              <a16:creationId xmlns:a16="http://schemas.microsoft.com/office/drawing/2014/main" id="{00000000-0008-0000-0100-000034071900}"/>
            </a:ext>
          </a:extLst>
        </xdr:cNvPr>
        <xdr:cNvSpPr>
          <a:spLocks noChangeShapeType="1"/>
        </xdr:cNvSpPr>
      </xdr:nvSpPr>
      <xdr:spPr bwMode="auto">
        <a:xfrm flipH="1">
          <a:off x="4206240" y="72725280"/>
          <a:ext cx="4343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13</xdr:col>
      <xdr:colOff>0</xdr:colOff>
      <xdr:row>137</xdr:row>
      <xdr:rowOff>0</xdr:rowOff>
    </xdr:to>
    <xdr:graphicFrame macro="">
      <xdr:nvGraphicFramePr>
        <xdr:cNvPr id="1640245" name="Diagramm 91">
          <a:extLst>
            <a:ext uri="{FF2B5EF4-FFF2-40B4-BE49-F238E27FC236}">
              <a16:creationId xmlns:a16="http://schemas.microsoft.com/office/drawing/2014/main" id="{00000000-0008-0000-0100-000035071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13</xdr:col>
      <xdr:colOff>415290</xdr:colOff>
      <xdr:row>124</xdr:row>
      <xdr:rowOff>123825</xdr:rowOff>
    </xdr:from>
    <xdr:to>
      <xdr:col>16</xdr:col>
      <xdr:colOff>415290</xdr:colOff>
      <xdr:row>128</xdr:row>
      <xdr:rowOff>61055</xdr:rowOff>
    </xdr:to>
    <xdr:sp macro="" textlink="">
      <xdr:nvSpPr>
        <xdr:cNvPr id="3164" name="Text Box 92">
          <a:extLst>
            <a:ext uri="{FF2B5EF4-FFF2-40B4-BE49-F238E27FC236}">
              <a16:creationId xmlns:a16="http://schemas.microsoft.com/office/drawing/2014/main" id="{00000000-0008-0000-0100-00005C0C0000}"/>
            </a:ext>
          </a:extLst>
        </xdr:cNvPr>
        <xdr:cNvSpPr txBox="1">
          <a:spLocks noChangeArrowheads="1"/>
        </xdr:cNvSpPr>
      </xdr:nvSpPr>
      <xdr:spPr bwMode="auto">
        <a:xfrm>
          <a:off x="4505325" y="21202650"/>
          <a:ext cx="13144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Kumulierte Abschreibungs-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summe früherer Perioden</a:t>
          </a:r>
        </a:p>
      </xdr:txBody>
    </xdr:sp>
    <xdr:clientData/>
  </xdr:twoCellAnchor>
  <xdr:twoCellAnchor>
    <xdr:from>
      <xdr:col>12</xdr:col>
      <xdr:colOff>441960</xdr:colOff>
      <xdr:row>126</xdr:row>
      <xdr:rowOff>99060</xdr:rowOff>
    </xdr:from>
    <xdr:to>
      <xdr:col>13</xdr:col>
      <xdr:colOff>426720</xdr:colOff>
      <xdr:row>126</xdr:row>
      <xdr:rowOff>99060</xdr:rowOff>
    </xdr:to>
    <xdr:sp macro="" textlink="">
      <xdr:nvSpPr>
        <xdr:cNvPr id="1640247" name="Line 93">
          <a:extLst>
            <a:ext uri="{FF2B5EF4-FFF2-40B4-BE49-F238E27FC236}">
              <a16:creationId xmlns:a16="http://schemas.microsoft.com/office/drawing/2014/main" id="{00000000-0008-0000-0100-000037071900}"/>
            </a:ext>
          </a:extLst>
        </xdr:cNvPr>
        <xdr:cNvSpPr>
          <a:spLocks noChangeShapeType="1"/>
        </xdr:cNvSpPr>
      </xdr:nvSpPr>
      <xdr:spPr bwMode="auto">
        <a:xfrm flipH="1">
          <a:off x="4206240" y="23393400"/>
          <a:ext cx="4343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13</xdr:col>
      <xdr:colOff>415290</xdr:colOff>
      <xdr:row>132</xdr:row>
      <xdr:rowOff>161925</xdr:rowOff>
    </xdr:from>
    <xdr:to>
      <xdr:col>16</xdr:col>
      <xdr:colOff>377190</xdr:colOff>
      <xdr:row>134</xdr:row>
      <xdr:rowOff>137344</xdr:rowOff>
    </xdr:to>
    <xdr:sp macro="" textlink="">
      <xdr:nvSpPr>
        <xdr:cNvPr id="3166" name="Text Box 94">
          <a:extLst>
            <a:ext uri="{FF2B5EF4-FFF2-40B4-BE49-F238E27FC236}">
              <a16:creationId xmlns:a16="http://schemas.microsoft.com/office/drawing/2014/main" id="{00000000-0008-0000-0100-00005E0C0000}"/>
            </a:ext>
          </a:extLst>
        </xdr:cNvPr>
        <xdr:cNvSpPr txBox="1">
          <a:spLocks noChangeArrowheads="1"/>
        </xdr:cNvSpPr>
      </xdr:nvSpPr>
      <xdr:spPr bwMode="auto">
        <a:xfrm>
          <a:off x="4505325" y="22688550"/>
          <a:ext cx="12763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Jährliche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Abschreibung</a:t>
          </a:r>
        </a:p>
      </xdr:txBody>
    </xdr:sp>
    <xdr:clientData/>
  </xdr:twoCellAnchor>
  <xdr:twoCellAnchor>
    <xdr:from>
      <xdr:col>12</xdr:col>
      <xdr:colOff>441960</xdr:colOff>
      <xdr:row>133</xdr:row>
      <xdr:rowOff>144780</xdr:rowOff>
    </xdr:from>
    <xdr:to>
      <xdr:col>13</xdr:col>
      <xdr:colOff>426720</xdr:colOff>
      <xdr:row>133</xdr:row>
      <xdr:rowOff>144780</xdr:rowOff>
    </xdr:to>
    <xdr:sp macro="" textlink="">
      <xdr:nvSpPr>
        <xdr:cNvPr id="1640249" name="Line 95">
          <a:extLst>
            <a:ext uri="{FF2B5EF4-FFF2-40B4-BE49-F238E27FC236}">
              <a16:creationId xmlns:a16="http://schemas.microsoft.com/office/drawing/2014/main" id="{00000000-0008-0000-0100-000039071900}"/>
            </a:ext>
          </a:extLst>
        </xdr:cNvPr>
        <xdr:cNvSpPr>
          <a:spLocks noChangeShapeType="1"/>
        </xdr:cNvSpPr>
      </xdr:nvSpPr>
      <xdr:spPr bwMode="auto">
        <a:xfrm flipH="1">
          <a:off x="4206240" y="24665940"/>
          <a:ext cx="4343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13</xdr:col>
      <xdr:colOff>415290</xdr:colOff>
      <xdr:row>119</xdr:row>
      <xdr:rowOff>163830</xdr:rowOff>
    </xdr:from>
    <xdr:to>
      <xdr:col>16</xdr:col>
      <xdr:colOff>415290</xdr:colOff>
      <xdr:row>120</xdr:row>
      <xdr:rowOff>137946</xdr:rowOff>
    </xdr:to>
    <xdr:sp macro="" textlink="">
      <xdr:nvSpPr>
        <xdr:cNvPr id="3168" name="Text Box 96">
          <a:extLst>
            <a:ext uri="{FF2B5EF4-FFF2-40B4-BE49-F238E27FC236}">
              <a16:creationId xmlns:a16="http://schemas.microsoft.com/office/drawing/2014/main" id="{00000000-0008-0000-0100-0000600C0000}"/>
            </a:ext>
          </a:extLst>
        </xdr:cNvPr>
        <xdr:cNvSpPr txBox="1">
          <a:spLocks noChangeArrowheads="1"/>
        </xdr:cNvSpPr>
      </xdr:nvSpPr>
      <xdr:spPr bwMode="auto">
        <a:xfrm>
          <a:off x="4505325" y="20345400"/>
          <a:ext cx="1314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Anschaffungskosten</a:t>
          </a:r>
        </a:p>
      </xdr:txBody>
    </xdr:sp>
    <xdr:clientData/>
  </xdr:twoCellAnchor>
  <xdr:twoCellAnchor>
    <xdr:from>
      <xdr:col>6</xdr:col>
      <xdr:colOff>373380</xdr:colOff>
      <xdr:row>120</xdr:row>
      <xdr:rowOff>76200</xdr:rowOff>
    </xdr:from>
    <xdr:to>
      <xdr:col>13</xdr:col>
      <xdr:colOff>426720</xdr:colOff>
      <xdr:row>120</xdr:row>
      <xdr:rowOff>76200</xdr:rowOff>
    </xdr:to>
    <xdr:sp macro="" textlink="">
      <xdr:nvSpPr>
        <xdr:cNvPr id="1640251" name="Line 97">
          <a:extLst>
            <a:ext uri="{FF2B5EF4-FFF2-40B4-BE49-F238E27FC236}">
              <a16:creationId xmlns:a16="http://schemas.microsoft.com/office/drawing/2014/main" id="{00000000-0008-0000-0100-00003B071900}"/>
            </a:ext>
          </a:extLst>
        </xdr:cNvPr>
        <xdr:cNvSpPr>
          <a:spLocks noChangeShapeType="1"/>
        </xdr:cNvSpPr>
      </xdr:nvSpPr>
      <xdr:spPr bwMode="auto">
        <a:xfrm flipH="1">
          <a:off x="1440180" y="22318980"/>
          <a:ext cx="3200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247650</xdr:colOff>
      <xdr:row>119</xdr:row>
      <xdr:rowOff>163830</xdr:rowOff>
    </xdr:from>
    <xdr:to>
      <xdr:col>6</xdr:col>
      <xdr:colOff>329573</xdr:colOff>
      <xdr:row>120</xdr:row>
      <xdr:rowOff>137946</xdr:rowOff>
    </xdr:to>
    <xdr:sp macro="" textlink="">
      <xdr:nvSpPr>
        <xdr:cNvPr id="3170" name="Text Box 98">
          <a:extLst>
            <a:ext uri="{FF2B5EF4-FFF2-40B4-BE49-F238E27FC236}">
              <a16:creationId xmlns:a16="http://schemas.microsoft.com/office/drawing/2014/main" id="{00000000-0008-0000-0100-0000620C0000}"/>
            </a:ext>
          </a:extLst>
        </xdr:cNvPr>
        <xdr:cNvSpPr txBox="1">
          <a:spLocks noChangeArrowheads="1"/>
        </xdr:cNvSpPr>
      </xdr:nvSpPr>
      <xdr:spPr bwMode="auto">
        <a:xfrm>
          <a:off x="838200" y="20345400"/>
          <a:ext cx="514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100.000</a:t>
          </a:r>
        </a:p>
      </xdr:txBody>
    </xdr:sp>
    <xdr:clientData/>
  </xdr:twoCellAnchor>
  <xdr:twoCellAnchor editAs="oneCell">
    <xdr:from>
      <xdr:col>13</xdr:col>
      <xdr:colOff>415290</xdr:colOff>
      <xdr:row>162</xdr:row>
      <xdr:rowOff>161925</xdr:rowOff>
    </xdr:from>
    <xdr:to>
      <xdr:col>16</xdr:col>
      <xdr:colOff>415290</xdr:colOff>
      <xdr:row>163</xdr:row>
      <xdr:rowOff>126016</xdr:rowOff>
    </xdr:to>
    <xdr:sp macro="" textlink="">
      <xdr:nvSpPr>
        <xdr:cNvPr id="3171" name="Text Box 99">
          <a:extLst>
            <a:ext uri="{FF2B5EF4-FFF2-40B4-BE49-F238E27FC236}">
              <a16:creationId xmlns:a16="http://schemas.microsoft.com/office/drawing/2014/main" id="{00000000-0008-0000-0100-0000630C0000}"/>
            </a:ext>
          </a:extLst>
        </xdr:cNvPr>
        <xdr:cNvSpPr txBox="1">
          <a:spLocks noChangeArrowheads="1"/>
        </xdr:cNvSpPr>
      </xdr:nvSpPr>
      <xdr:spPr bwMode="auto">
        <a:xfrm>
          <a:off x="4505325" y="28174950"/>
          <a:ext cx="1314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Anschaffungskosten</a:t>
          </a:r>
        </a:p>
      </xdr:txBody>
    </xdr:sp>
    <xdr:clientData/>
  </xdr:twoCellAnchor>
  <xdr:twoCellAnchor>
    <xdr:from>
      <xdr:col>6</xdr:col>
      <xdr:colOff>373380</xdr:colOff>
      <xdr:row>163</xdr:row>
      <xdr:rowOff>60960</xdr:rowOff>
    </xdr:from>
    <xdr:to>
      <xdr:col>13</xdr:col>
      <xdr:colOff>426720</xdr:colOff>
      <xdr:row>163</xdr:row>
      <xdr:rowOff>60960</xdr:rowOff>
    </xdr:to>
    <xdr:sp macro="" textlink="">
      <xdr:nvSpPr>
        <xdr:cNvPr id="1640254" name="Line 100">
          <a:extLst>
            <a:ext uri="{FF2B5EF4-FFF2-40B4-BE49-F238E27FC236}">
              <a16:creationId xmlns:a16="http://schemas.microsoft.com/office/drawing/2014/main" id="{00000000-0008-0000-0100-00003E071900}"/>
            </a:ext>
          </a:extLst>
        </xdr:cNvPr>
        <xdr:cNvSpPr>
          <a:spLocks noChangeShapeType="1"/>
        </xdr:cNvSpPr>
      </xdr:nvSpPr>
      <xdr:spPr bwMode="auto">
        <a:xfrm flipH="1">
          <a:off x="1440180" y="29900880"/>
          <a:ext cx="3200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247650</xdr:colOff>
      <xdr:row>162</xdr:row>
      <xdr:rowOff>161925</xdr:rowOff>
    </xdr:from>
    <xdr:to>
      <xdr:col>6</xdr:col>
      <xdr:colOff>329573</xdr:colOff>
      <xdr:row>163</xdr:row>
      <xdr:rowOff>126016</xdr:rowOff>
    </xdr:to>
    <xdr:sp macro="" textlink="">
      <xdr:nvSpPr>
        <xdr:cNvPr id="3173" name="Text Box 101">
          <a:extLst>
            <a:ext uri="{FF2B5EF4-FFF2-40B4-BE49-F238E27FC236}">
              <a16:creationId xmlns:a16="http://schemas.microsoft.com/office/drawing/2014/main" id="{00000000-0008-0000-0100-0000650C0000}"/>
            </a:ext>
          </a:extLst>
        </xdr:cNvPr>
        <xdr:cNvSpPr txBox="1">
          <a:spLocks noChangeArrowheads="1"/>
        </xdr:cNvSpPr>
      </xdr:nvSpPr>
      <xdr:spPr bwMode="auto">
        <a:xfrm>
          <a:off x="838200" y="28174950"/>
          <a:ext cx="514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100.000</a:t>
          </a:r>
        </a:p>
      </xdr:txBody>
    </xdr:sp>
    <xdr:clientData/>
  </xdr:twoCellAnchor>
  <xdr:twoCellAnchor editAs="oneCell">
    <xdr:from>
      <xdr:col>13</xdr:col>
      <xdr:colOff>415290</xdr:colOff>
      <xdr:row>238</xdr:row>
      <xdr:rowOff>146685</xdr:rowOff>
    </xdr:from>
    <xdr:to>
      <xdr:col>16</xdr:col>
      <xdr:colOff>415290</xdr:colOff>
      <xdr:row>239</xdr:row>
      <xdr:rowOff>124042</xdr:rowOff>
    </xdr:to>
    <xdr:sp macro="" textlink="">
      <xdr:nvSpPr>
        <xdr:cNvPr id="3174" name="Text Box 102">
          <a:extLst>
            <a:ext uri="{FF2B5EF4-FFF2-40B4-BE49-F238E27FC236}">
              <a16:creationId xmlns:a16="http://schemas.microsoft.com/office/drawing/2014/main" id="{00000000-0008-0000-0100-0000660C0000}"/>
            </a:ext>
          </a:extLst>
        </xdr:cNvPr>
        <xdr:cNvSpPr txBox="1">
          <a:spLocks noChangeArrowheads="1"/>
        </xdr:cNvSpPr>
      </xdr:nvSpPr>
      <xdr:spPr bwMode="auto">
        <a:xfrm>
          <a:off x="4505325" y="42033825"/>
          <a:ext cx="1314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Anschaffungskosten</a:t>
          </a:r>
        </a:p>
      </xdr:txBody>
    </xdr:sp>
    <xdr:clientData/>
  </xdr:twoCellAnchor>
  <xdr:twoCellAnchor>
    <xdr:from>
      <xdr:col>6</xdr:col>
      <xdr:colOff>373380</xdr:colOff>
      <xdr:row>239</xdr:row>
      <xdr:rowOff>53340</xdr:rowOff>
    </xdr:from>
    <xdr:to>
      <xdr:col>13</xdr:col>
      <xdr:colOff>426720</xdr:colOff>
      <xdr:row>239</xdr:row>
      <xdr:rowOff>53340</xdr:rowOff>
    </xdr:to>
    <xdr:sp macro="" textlink="">
      <xdr:nvSpPr>
        <xdr:cNvPr id="1640257" name="Line 103">
          <a:extLst>
            <a:ext uri="{FF2B5EF4-FFF2-40B4-BE49-F238E27FC236}">
              <a16:creationId xmlns:a16="http://schemas.microsoft.com/office/drawing/2014/main" id="{00000000-0008-0000-0100-000041071900}"/>
            </a:ext>
          </a:extLst>
        </xdr:cNvPr>
        <xdr:cNvSpPr>
          <a:spLocks noChangeShapeType="1"/>
        </xdr:cNvSpPr>
      </xdr:nvSpPr>
      <xdr:spPr bwMode="auto">
        <a:xfrm flipH="1">
          <a:off x="1440180" y="43365420"/>
          <a:ext cx="3200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247650</xdr:colOff>
      <xdr:row>238</xdr:row>
      <xdr:rowOff>146685</xdr:rowOff>
    </xdr:from>
    <xdr:to>
      <xdr:col>6</xdr:col>
      <xdr:colOff>329573</xdr:colOff>
      <xdr:row>239</xdr:row>
      <xdr:rowOff>124042</xdr:rowOff>
    </xdr:to>
    <xdr:sp macro="" textlink="">
      <xdr:nvSpPr>
        <xdr:cNvPr id="3176" name="Text Box 104">
          <a:extLst>
            <a:ext uri="{FF2B5EF4-FFF2-40B4-BE49-F238E27FC236}">
              <a16:creationId xmlns:a16="http://schemas.microsoft.com/office/drawing/2014/main" id="{00000000-0008-0000-0100-0000680C0000}"/>
            </a:ext>
          </a:extLst>
        </xdr:cNvPr>
        <xdr:cNvSpPr txBox="1">
          <a:spLocks noChangeArrowheads="1"/>
        </xdr:cNvSpPr>
      </xdr:nvSpPr>
      <xdr:spPr bwMode="auto">
        <a:xfrm>
          <a:off x="838200" y="42033825"/>
          <a:ext cx="514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100.000</a:t>
          </a:r>
        </a:p>
      </xdr:txBody>
    </xdr:sp>
    <xdr:clientData/>
  </xdr:twoCellAnchor>
  <xdr:twoCellAnchor editAs="oneCell">
    <xdr:from>
      <xdr:col>13</xdr:col>
      <xdr:colOff>415290</xdr:colOff>
      <xdr:row>290</xdr:row>
      <xdr:rowOff>161925</xdr:rowOff>
    </xdr:from>
    <xdr:to>
      <xdr:col>16</xdr:col>
      <xdr:colOff>415290</xdr:colOff>
      <xdr:row>291</xdr:row>
      <xdr:rowOff>126016</xdr:rowOff>
    </xdr:to>
    <xdr:sp macro="" textlink="">
      <xdr:nvSpPr>
        <xdr:cNvPr id="3177" name="Text Box 105">
          <a:extLst>
            <a:ext uri="{FF2B5EF4-FFF2-40B4-BE49-F238E27FC236}">
              <a16:creationId xmlns:a16="http://schemas.microsoft.com/office/drawing/2014/main" id="{00000000-0008-0000-0100-0000690C0000}"/>
            </a:ext>
          </a:extLst>
        </xdr:cNvPr>
        <xdr:cNvSpPr txBox="1">
          <a:spLocks noChangeArrowheads="1"/>
        </xdr:cNvSpPr>
      </xdr:nvSpPr>
      <xdr:spPr bwMode="auto">
        <a:xfrm>
          <a:off x="4505325" y="51454050"/>
          <a:ext cx="1314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Anschaffungskosten</a:t>
          </a:r>
        </a:p>
      </xdr:txBody>
    </xdr:sp>
    <xdr:clientData/>
  </xdr:twoCellAnchor>
  <xdr:twoCellAnchor>
    <xdr:from>
      <xdr:col>6</xdr:col>
      <xdr:colOff>373380</xdr:colOff>
      <xdr:row>291</xdr:row>
      <xdr:rowOff>60960</xdr:rowOff>
    </xdr:from>
    <xdr:to>
      <xdr:col>13</xdr:col>
      <xdr:colOff>426720</xdr:colOff>
      <xdr:row>291</xdr:row>
      <xdr:rowOff>60960</xdr:rowOff>
    </xdr:to>
    <xdr:sp macro="" textlink="">
      <xdr:nvSpPr>
        <xdr:cNvPr id="1640260" name="Line 106">
          <a:extLst>
            <a:ext uri="{FF2B5EF4-FFF2-40B4-BE49-F238E27FC236}">
              <a16:creationId xmlns:a16="http://schemas.microsoft.com/office/drawing/2014/main" id="{00000000-0008-0000-0100-000044071900}"/>
            </a:ext>
          </a:extLst>
        </xdr:cNvPr>
        <xdr:cNvSpPr>
          <a:spLocks noChangeShapeType="1"/>
        </xdr:cNvSpPr>
      </xdr:nvSpPr>
      <xdr:spPr bwMode="auto">
        <a:xfrm flipH="1">
          <a:off x="1440180" y="52486560"/>
          <a:ext cx="3200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247650</xdr:colOff>
      <xdr:row>290</xdr:row>
      <xdr:rowOff>161925</xdr:rowOff>
    </xdr:from>
    <xdr:to>
      <xdr:col>6</xdr:col>
      <xdr:colOff>329573</xdr:colOff>
      <xdr:row>291</xdr:row>
      <xdr:rowOff>126016</xdr:rowOff>
    </xdr:to>
    <xdr:sp macro="" textlink="">
      <xdr:nvSpPr>
        <xdr:cNvPr id="3179" name="Text Box 107">
          <a:extLst>
            <a:ext uri="{FF2B5EF4-FFF2-40B4-BE49-F238E27FC236}">
              <a16:creationId xmlns:a16="http://schemas.microsoft.com/office/drawing/2014/main" id="{00000000-0008-0000-0100-00006B0C0000}"/>
            </a:ext>
          </a:extLst>
        </xdr:cNvPr>
        <xdr:cNvSpPr txBox="1">
          <a:spLocks noChangeArrowheads="1"/>
        </xdr:cNvSpPr>
      </xdr:nvSpPr>
      <xdr:spPr bwMode="auto">
        <a:xfrm>
          <a:off x="838200" y="51454050"/>
          <a:ext cx="514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100.000</a:t>
          </a:r>
        </a:p>
      </xdr:txBody>
    </xdr:sp>
    <xdr:clientData/>
  </xdr:twoCellAnchor>
  <xdr:twoCellAnchor editAs="oneCell">
    <xdr:from>
      <xdr:col>13</xdr:col>
      <xdr:colOff>415290</xdr:colOff>
      <xdr:row>385</xdr:row>
      <xdr:rowOff>146685</xdr:rowOff>
    </xdr:from>
    <xdr:to>
      <xdr:col>16</xdr:col>
      <xdr:colOff>415290</xdr:colOff>
      <xdr:row>386</xdr:row>
      <xdr:rowOff>124042</xdr:rowOff>
    </xdr:to>
    <xdr:sp macro="" textlink="">
      <xdr:nvSpPr>
        <xdr:cNvPr id="3180" name="Text Box 108">
          <a:extLst>
            <a:ext uri="{FF2B5EF4-FFF2-40B4-BE49-F238E27FC236}">
              <a16:creationId xmlns:a16="http://schemas.microsoft.com/office/drawing/2014/main" id="{00000000-0008-0000-0100-00006C0C0000}"/>
            </a:ext>
          </a:extLst>
        </xdr:cNvPr>
        <xdr:cNvSpPr txBox="1">
          <a:spLocks noChangeArrowheads="1"/>
        </xdr:cNvSpPr>
      </xdr:nvSpPr>
      <xdr:spPr bwMode="auto">
        <a:xfrm>
          <a:off x="4505325" y="69103875"/>
          <a:ext cx="1314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Anschaffungskosten</a:t>
          </a:r>
        </a:p>
      </xdr:txBody>
    </xdr:sp>
    <xdr:clientData/>
  </xdr:twoCellAnchor>
  <xdr:twoCellAnchor>
    <xdr:from>
      <xdr:col>6</xdr:col>
      <xdr:colOff>373380</xdr:colOff>
      <xdr:row>386</xdr:row>
      <xdr:rowOff>53340</xdr:rowOff>
    </xdr:from>
    <xdr:to>
      <xdr:col>13</xdr:col>
      <xdr:colOff>426720</xdr:colOff>
      <xdr:row>386</xdr:row>
      <xdr:rowOff>53340</xdr:rowOff>
    </xdr:to>
    <xdr:sp macro="" textlink="">
      <xdr:nvSpPr>
        <xdr:cNvPr id="1640263" name="Line 109">
          <a:extLst>
            <a:ext uri="{FF2B5EF4-FFF2-40B4-BE49-F238E27FC236}">
              <a16:creationId xmlns:a16="http://schemas.microsoft.com/office/drawing/2014/main" id="{00000000-0008-0000-0100-000047071900}"/>
            </a:ext>
          </a:extLst>
        </xdr:cNvPr>
        <xdr:cNvSpPr>
          <a:spLocks noChangeShapeType="1"/>
        </xdr:cNvSpPr>
      </xdr:nvSpPr>
      <xdr:spPr bwMode="auto">
        <a:xfrm flipH="1">
          <a:off x="1440180" y="69433440"/>
          <a:ext cx="3200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247650</xdr:colOff>
      <xdr:row>385</xdr:row>
      <xdr:rowOff>146685</xdr:rowOff>
    </xdr:from>
    <xdr:to>
      <xdr:col>6</xdr:col>
      <xdr:colOff>329573</xdr:colOff>
      <xdr:row>386</xdr:row>
      <xdr:rowOff>124042</xdr:rowOff>
    </xdr:to>
    <xdr:sp macro="" textlink="">
      <xdr:nvSpPr>
        <xdr:cNvPr id="3182" name="Text Box 110">
          <a:extLst>
            <a:ext uri="{FF2B5EF4-FFF2-40B4-BE49-F238E27FC236}">
              <a16:creationId xmlns:a16="http://schemas.microsoft.com/office/drawing/2014/main" id="{00000000-0008-0000-0100-00006E0C0000}"/>
            </a:ext>
          </a:extLst>
        </xdr:cNvPr>
        <xdr:cNvSpPr txBox="1">
          <a:spLocks noChangeArrowheads="1"/>
        </xdr:cNvSpPr>
      </xdr:nvSpPr>
      <xdr:spPr bwMode="auto">
        <a:xfrm>
          <a:off x="838200" y="69103875"/>
          <a:ext cx="514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100.000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</xdr:colOff>
          <xdr:row>233</xdr:row>
          <xdr:rowOff>129540</xdr:rowOff>
        </xdr:from>
        <xdr:to>
          <xdr:col>9</xdr:col>
          <xdr:colOff>144780</xdr:colOff>
          <xdr:row>236</xdr:row>
          <xdr:rowOff>91440</xdr:rowOff>
        </xdr:to>
        <xdr:sp macro="" textlink="">
          <xdr:nvSpPr>
            <xdr:cNvPr id="3183" name="Object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1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228600</xdr:colOff>
      <xdr:row>263</xdr:row>
      <xdr:rowOff>160020</xdr:rowOff>
    </xdr:from>
    <xdr:to>
      <xdr:col>15</xdr:col>
      <xdr:colOff>182880</xdr:colOff>
      <xdr:row>265</xdr:row>
      <xdr:rowOff>114300</xdr:rowOff>
    </xdr:to>
    <xdr:sp macro="" textlink="">
      <xdr:nvSpPr>
        <xdr:cNvPr id="1640265" name="Line 112">
          <a:extLst>
            <a:ext uri="{FF2B5EF4-FFF2-40B4-BE49-F238E27FC236}">
              <a16:creationId xmlns:a16="http://schemas.microsoft.com/office/drawing/2014/main" id="{00000000-0008-0000-0100-000049071900}"/>
            </a:ext>
          </a:extLst>
        </xdr:cNvPr>
        <xdr:cNvSpPr>
          <a:spLocks noChangeShapeType="1"/>
        </xdr:cNvSpPr>
      </xdr:nvSpPr>
      <xdr:spPr bwMode="auto">
        <a:xfrm flipH="1">
          <a:off x="4892040" y="47678340"/>
          <a:ext cx="40386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335280</xdr:colOff>
      <xdr:row>446</xdr:row>
      <xdr:rowOff>91440</xdr:rowOff>
    </xdr:from>
    <xdr:to>
      <xdr:col>11</xdr:col>
      <xdr:colOff>388620</xdr:colOff>
      <xdr:row>446</xdr:row>
      <xdr:rowOff>91440</xdr:rowOff>
    </xdr:to>
    <xdr:sp macro="" textlink="">
      <xdr:nvSpPr>
        <xdr:cNvPr id="1640266" name="Line 113">
          <a:extLst>
            <a:ext uri="{FF2B5EF4-FFF2-40B4-BE49-F238E27FC236}">
              <a16:creationId xmlns:a16="http://schemas.microsoft.com/office/drawing/2014/main" id="{00000000-0008-0000-0100-00004A071900}"/>
            </a:ext>
          </a:extLst>
        </xdr:cNvPr>
        <xdr:cNvSpPr>
          <a:spLocks noChangeShapeType="1"/>
        </xdr:cNvSpPr>
      </xdr:nvSpPr>
      <xdr:spPr bwMode="auto">
        <a:xfrm>
          <a:off x="1402080" y="79880460"/>
          <a:ext cx="23012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381000</xdr:colOff>
      <xdr:row>445</xdr:row>
      <xdr:rowOff>99060</xdr:rowOff>
    </xdr:from>
    <xdr:to>
      <xdr:col>11</xdr:col>
      <xdr:colOff>388620</xdr:colOff>
      <xdr:row>445</xdr:row>
      <xdr:rowOff>99060</xdr:rowOff>
    </xdr:to>
    <xdr:sp macro="" textlink="">
      <xdr:nvSpPr>
        <xdr:cNvPr id="1640267" name="Line 114">
          <a:extLst>
            <a:ext uri="{FF2B5EF4-FFF2-40B4-BE49-F238E27FC236}">
              <a16:creationId xmlns:a16="http://schemas.microsoft.com/office/drawing/2014/main" id="{00000000-0008-0000-0100-00004B071900}"/>
            </a:ext>
          </a:extLst>
        </xdr:cNvPr>
        <xdr:cNvSpPr>
          <a:spLocks noChangeShapeType="1"/>
        </xdr:cNvSpPr>
      </xdr:nvSpPr>
      <xdr:spPr bwMode="auto">
        <a:xfrm>
          <a:off x="3246120" y="79712820"/>
          <a:ext cx="457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415290</xdr:colOff>
      <xdr:row>439</xdr:row>
      <xdr:rowOff>76200</xdr:rowOff>
    </xdr:from>
    <xdr:to>
      <xdr:col>16</xdr:col>
      <xdr:colOff>171471</xdr:colOff>
      <xdr:row>440</xdr:row>
      <xdr:rowOff>61155</xdr:rowOff>
    </xdr:to>
    <xdr:sp macro="" textlink="">
      <xdr:nvSpPr>
        <xdr:cNvPr id="3188" name="Text Box 116">
          <a:extLst>
            <a:ext uri="{FF2B5EF4-FFF2-40B4-BE49-F238E27FC236}">
              <a16:creationId xmlns:a16="http://schemas.microsoft.com/office/drawing/2014/main" id="{00000000-0008-0000-0100-0000740C0000}"/>
            </a:ext>
          </a:extLst>
        </xdr:cNvPr>
        <xdr:cNvSpPr txBox="1">
          <a:spLocks noChangeArrowheads="1"/>
        </xdr:cNvSpPr>
      </xdr:nvSpPr>
      <xdr:spPr bwMode="auto">
        <a:xfrm>
          <a:off x="4067175" y="77762100"/>
          <a:ext cx="151447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Anzahl der AfA-Perioden + 1 !!</a:t>
          </a:r>
        </a:p>
      </xdr:txBody>
    </xdr:sp>
    <xdr:clientData/>
  </xdr:twoCellAnchor>
  <xdr:twoCellAnchor>
    <xdr:from>
      <xdr:col>15</xdr:col>
      <xdr:colOff>373380</xdr:colOff>
      <xdr:row>437</xdr:row>
      <xdr:rowOff>167640</xdr:rowOff>
    </xdr:from>
    <xdr:to>
      <xdr:col>15</xdr:col>
      <xdr:colOff>373380</xdr:colOff>
      <xdr:row>439</xdr:row>
      <xdr:rowOff>45720</xdr:rowOff>
    </xdr:to>
    <xdr:sp macro="" textlink="">
      <xdr:nvSpPr>
        <xdr:cNvPr id="1640269" name="Line 117">
          <a:extLst>
            <a:ext uri="{FF2B5EF4-FFF2-40B4-BE49-F238E27FC236}">
              <a16:creationId xmlns:a16="http://schemas.microsoft.com/office/drawing/2014/main" id="{00000000-0008-0000-0100-00004D071900}"/>
            </a:ext>
          </a:extLst>
        </xdr:cNvPr>
        <xdr:cNvSpPr>
          <a:spLocks noChangeShapeType="1"/>
        </xdr:cNvSpPr>
      </xdr:nvSpPr>
      <xdr:spPr bwMode="auto">
        <a:xfrm flipV="1">
          <a:off x="5486400" y="78379320"/>
          <a:ext cx="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160020</xdr:colOff>
      <xdr:row>518</xdr:row>
      <xdr:rowOff>0</xdr:rowOff>
    </xdr:from>
    <xdr:to>
      <xdr:col>17</xdr:col>
      <xdr:colOff>0</xdr:colOff>
      <xdr:row>527</xdr:row>
      <xdr:rowOff>38100</xdr:rowOff>
    </xdr:to>
    <xdr:graphicFrame macro="">
      <xdr:nvGraphicFramePr>
        <xdr:cNvPr id="1640270" name="Diagramm 122">
          <a:extLst>
            <a:ext uri="{FF2B5EF4-FFF2-40B4-BE49-F238E27FC236}">
              <a16:creationId xmlns:a16="http://schemas.microsoft.com/office/drawing/2014/main" id="{00000000-0008-0000-0100-00004E071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518</xdr:row>
      <xdr:rowOff>0</xdr:rowOff>
    </xdr:from>
    <xdr:to>
      <xdr:col>10</xdr:col>
      <xdr:colOff>289560</xdr:colOff>
      <xdr:row>527</xdr:row>
      <xdr:rowOff>38100</xdr:rowOff>
    </xdr:to>
    <xdr:graphicFrame macro="">
      <xdr:nvGraphicFramePr>
        <xdr:cNvPr id="1640271" name="Diagramm 123">
          <a:extLst>
            <a:ext uri="{FF2B5EF4-FFF2-40B4-BE49-F238E27FC236}">
              <a16:creationId xmlns:a16="http://schemas.microsoft.com/office/drawing/2014/main" id="{00000000-0008-0000-0100-00004F071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587</xdr:row>
      <xdr:rowOff>0</xdr:rowOff>
    </xdr:from>
    <xdr:to>
      <xdr:col>16</xdr:col>
      <xdr:colOff>0</xdr:colOff>
      <xdr:row>599</xdr:row>
      <xdr:rowOff>167640</xdr:rowOff>
    </xdr:to>
    <xdr:graphicFrame macro="">
      <xdr:nvGraphicFramePr>
        <xdr:cNvPr id="1640272" name="Diagramm 124">
          <a:extLst>
            <a:ext uri="{FF2B5EF4-FFF2-40B4-BE49-F238E27FC236}">
              <a16:creationId xmlns:a16="http://schemas.microsoft.com/office/drawing/2014/main" id="{00000000-0008-0000-0100-000050071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106680</xdr:colOff>
      <xdr:row>832</xdr:row>
      <xdr:rowOff>137160</xdr:rowOff>
    </xdr:from>
    <xdr:to>
      <xdr:col>7</xdr:col>
      <xdr:colOff>335280</xdr:colOff>
      <xdr:row>833</xdr:row>
      <xdr:rowOff>38100</xdr:rowOff>
    </xdr:to>
    <xdr:sp macro="" textlink="">
      <xdr:nvSpPr>
        <xdr:cNvPr id="1640273" name="AutoShape 129">
          <a:extLst>
            <a:ext uri="{FF2B5EF4-FFF2-40B4-BE49-F238E27FC236}">
              <a16:creationId xmlns:a16="http://schemas.microsoft.com/office/drawing/2014/main" id="{00000000-0008-0000-0100-000051071900}"/>
            </a:ext>
          </a:extLst>
        </xdr:cNvPr>
        <xdr:cNvSpPr>
          <a:spLocks/>
        </xdr:cNvSpPr>
      </xdr:nvSpPr>
      <xdr:spPr bwMode="auto">
        <a:xfrm rot="-5400000">
          <a:off x="1474470" y="123638310"/>
          <a:ext cx="76200" cy="678180"/>
        </a:xfrm>
        <a:prstGeom prst="leftBrace">
          <a:avLst>
            <a:gd name="adj1" fmla="val 7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648</xdr:row>
      <xdr:rowOff>0</xdr:rowOff>
    </xdr:from>
    <xdr:to>
      <xdr:col>10</xdr:col>
      <xdr:colOff>373380</xdr:colOff>
      <xdr:row>658</xdr:row>
      <xdr:rowOff>0</xdr:rowOff>
    </xdr:to>
    <xdr:graphicFrame macro="">
      <xdr:nvGraphicFramePr>
        <xdr:cNvPr id="1640274" name="Diagramm 135">
          <a:extLst>
            <a:ext uri="{FF2B5EF4-FFF2-40B4-BE49-F238E27FC236}">
              <a16:creationId xmlns:a16="http://schemas.microsoft.com/office/drawing/2014/main" id="{00000000-0008-0000-0100-000052071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310515</xdr:colOff>
      <xdr:row>1357</xdr:row>
      <xdr:rowOff>76200</xdr:rowOff>
    </xdr:from>
    <xdr:to>
      <xdr:col>11</xdr:col>
      <xdr:colOff>19152</xdr:colOff>
      <xdr:row>1358</xdr:row>
      <xdr:rowOff>85725</xdr:rowOff>
    </xdr:to>
    <xdr:sp macro="" textlink="">
      <xdr:nvSpPr>
        <xdr:cNvPr id="3208" name="Text Box 136">
          <a:extLst>
            <a:ext uri="{FF2B5EF4-FFF2-40B4-BE49-F238E27FC236}">
              <a16:creationId xmlns:a16="http://schemas.microsoft.com/office/drawing/2014/main" id="{00000000-0008-0000-0100-0000880C0000}"/>
            </a:ext>
          </a:extLst>
        </xdr:cNvPr>
        <xdr:cNvSpPr txBox="1">
          <a:spLocks noChangeArrowheads="1"/>
        </xdr:cNvSpPr>
      </xdr:nvSpPr>
      <xdr:spPr bwMode="auto">
        <a:xfrm>
          <a:off x="2647950" y="217293825"/>
          <a:ext cx="5905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bekannt</a:t>
          </a:r>
        </a:p>
      </xdr:txBody>
    </xdr:sp>
    <xdr:clientData/>
  </xdr:twoCellAnchor>
  <xdr:twoCellAnchor>
    <xdr:from>
      <xdr:col>7</xdr:col>
      <xdr:colOff>274320</xdr:colOff>
      <xdr:row>1358</xdr:row>
      <xdr:rowOff>7620</xdr:rowOff>
    </xdr:from>
    <xdr:to>
      <xdr:col>9</xdr:col>
      <xdr:colOff>312420</xdr:colOff>
      <xdr:row>1359</xdr:row>
      <xdr:rowOff>15240</xdr:rowOff>
    </xdr:to>
    <xdr:sp macro="" textlink="">
      <xdr:nvSpPr>
        <xdr:cNvPr id="1640276" name="Line 137">
          <a:extLst>
            <a:ext uri="{FF2B5EF4-FFF2-40B4-BE49-F238E27FC236}">
              <a16:creationId xmlns:a16="http://schemas.microsoft.com/office/drawing/2014/main" id="{00000000-0008-0000-0100-000054071900}"/>
            </a:ext>
          </a:extLst>
        </xdr:cNvPr>
        <xdr:cNvSpPr>
          <a:spLocks noChangeShapeType="1"/>
        </xdr:cNvSpPr>
      </xdr:nvSpPr>
      <xdr:spPr bwMode="auto">
        <a:xfrm flipH="1">
          <a:off x="1790700" y="215508840"/>
          <a:ext cx="937260" cy="182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160020</xdr:colOff>
      <xdr:row>1358</xdr:row>
      <xdr:rowOff>91440</xdr:rowOff>
    </xdr:from>
    <xdr:to>
      <xdr:col>10</xdr:col>
      <xdr:colOff>160020</xdr:colOff>
      <xdr:row>1359</xdr:row>
      <xdr:rowOff>121920</xdr:rowOff>
    </xdr:to>
    <xdr:sp macro="" textlink="">
      <xdr:nvSpPr>
        <xdr:cNvPr id="1640277" name="Line 138">
          <a:extLst>
            <a:ext uri="{FF2B5EF4-FFF2-40B4-BE49-F238E27FC236}">
              <a16:creationId xmlns:a16="http://schemas.microsoft.com/office/drawing/2014/main" id="{00000000-0008-0000-0100-000055071900}"/>
            </a:ext>
          </a:extLst>
        </xdr:cNvPr>
        <xdr:cNvSpPr>
          <a:spLocks noChangeShapeType="1"/>
        </xdr:cNvSpPr>
      </xdr:nvSpPr>
      <xdr:spPr bwMode="auto">
        <a:xfrm flipH="1">
          <a:off x="3025140" y="215592660"/>
          <a:ext cx="0" cy="2057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76200</xdr:colOff>
      <xdr:row>1362</xdr:row>
      <xdr:rowOff>28575</xdr:rowOff>
    </xdr:from>
    <xdr:to>
      <xdr:col>11</xdr:col>
      <xdr:colOff>247650</xdr:colOff>
      <xdr:row>1363</xdr:row>
      <xdr:rowOff>38100</xdr:rowOff>
    </xdr:to>
    <xdr:sp macro="" textlink="">
      <xdr:nvSpPr>
        <xdr:cNvPr id="3212" name="Text Box 140">
          <a:extLst>
            <a:ext uri="{FF2B5EF4-FFF2-40B4-BE49-F238E27FC236}">
              <a16:creationId xmlns:a16="http://schemas.microsoft.com/office/drawing/2014/main" id="{00000000-0008-0000-0100-00008C0C0000}"/>
            </a:ext>
          </a:extLst>
        </xdr:cNvPr>
        <xdr:cNvSpPr txBox="1">
          <a:spLocks noChangeArrowheads="1"/>
        </xdr:cNvSpPr>
      </xdr:nvSpPr>
      <xdr:spPr bwMode="auto">
        <a:xfrm>
          <a:off x="2419350" y="218036775"/>
          <a:ext cx="10477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gesuchte Variable</a:t>
          </a:r>
        </a:p>
      </xdr:txBody>
    </xdr:sp>
    <xdr:clientData/>
  </xdr:twoCellAnchor>
  <xdr:twoCellAnchor>
    <xdr:from>
      <xdr:col>7</xdr:col>
      <xdr:colOff>419100</xdr:colOff>
      <xdr:row>1361</xdr:row>
      <xdr:rowOff>121920</xdr:rowOff>
    </xdr:from>
    <xdr:to>
      <xdr:col>9</xdr:col>
      <xdr:colOff>76200</xdr:colOff>
      <xdr:row>1362</xdr:row>
      <xdr:rowOff>121920</xdr:rowOff>
    </xdr:to>
    <xdr:sp macro="" textlink="">
      <xdr:nvSpPr>
        <xdr:cNvPr id="1640279" name="Line 141">
          <a:extLst>
            <a:ext uri="{FF2B5EF4-FFF2-40B4-BE49-F238E27FC236}">
              <a16:creationId xmlns:a16="http://schemas.microsoft.com/office/drawing/2014/main" id="{00000000-0008-0000-0100-000057071900}"/>
            </a:ext>
          </a:extLst>
        </xdr:cNvPr>
        <xdr:cNvSpPr>
          <a:spLocks noChangeShapeType="1"/>
        </xdr:cNvSpPr>
      </xdr:nvSpPr>
      <xdr:spPr bwMode="auto">
        <a:xfrm flipH="1" flipV="1">
          <a:off x="1935480" y="216072720"/>
          <a:ext cx="556260" cy="1371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22860</xdr:colOff>
      <xdr:row>1358</xdr:row>
      <xdr:rowOff>7620</xdr:rowOff>
    </xdr:from>
    <xdr:to>
      <xdr:col>13</xdr:col>
      <xdr:colOff>60960</xdr:colOff>
      <xdr:row>1359</xdr:row>
      <xdr:rowOff>15240</xdr:rowOff>
    </xdr:to>
    <xdr:sp macro="" textlink="">
      <xdr:nvSpPr>
        <xdr:cNvPr id="1640280" name="Line 142">
          <a:extLst>
            <a:ext uri="{FF2B5EF4-FFF2-40B4-BE49-F238E27FC236}">
              <a16:creationId xmlns:a16="http://schemas.microsoft.com/office/drawing/2014/main" id="{00000000-0008-0000-0100-000058071900}"/>
            </a:ext>
          </a:extLst>
        </xdr:cNvPr>
        <xdr:cNvSpPr>
          <a:spLocks noChangeShapeType="1"/>
        </xdr:cNvSpPr>
      </xdr:nvSpPr>
      <xdr:spPr bwMode="auto">
        <a:xfrm>
          <a:off x="3337560" y="215508840"/>
          <a:ext cx="937260" cy="182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1394</xdr:row>
      <xdr:rowOff>49530</xdr:rowOff>
    </xdr:from>
    <xdr:to>
      <xdr:col>11</xdr:col>
      <xdr:colOff>440043</xdr:colOff>
      <xdr:row>1398</xdr:row>
      <xdr:rowOff>9592</xdr:rowOff>
    </xdr:to>
    <xdr:sp macro="" textlink="">
      <xdr:nvSpPr>
        <xdr:cNvPr id="3215" name="Text Box 143">
          <a:extLst>
            <a:ext uri="{FF2B5EF4-FFF2-40B4-BE49-F238E27FC236}">
              <a16:creationId xmlns:a16="http://schemas.microsoft.com/office/drawing/2014/main" id="{00000000-0008-0000-0100-00008F0C0000}"/>
            </a:ext>
          </a:extLst>
        </xdr:cNvPr>
        <xdr:cNvSpPr txBox="1">
          <a:spLocks noChangeArrowheads="1"/>
        </xdr:cNvSpPr>
      </xdr:nvSpPr>
      <xdr:spPr bwMode="auto">
        <a:xfrm>
          <a:off x="1914525" y="224037525"/>
          <a:ext cx="1733550" cy="676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zuzüglich Geschwindigkeitskosten, Terminkosten, etc. 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sofern es sich um einen Nachteil der Fremdmechanisierung handelt</a:t>
          </a:r>
        </a:p>
      </xdr:txBody>
    </xdr:sp>
    <xdr:clientData/>
  </xdr:twoCellAnchor>
  <xdr:twoCellAnchor>
    <xdr:from>
      <xdr:col>13</xdr:col>
      <xdr:colOff>19050</xdr:colOff>
      <xdr:row>1394</xdr:row>
      <xdr:rowOff>49530</xdr:rowOff>
    </xdr:from>
    <xdr:to>
      <xdr:col>16</xdr:col>
      <xdr:colOff>424850</xdr:colOff>
      <xdr:row>1398</xdr:row>
      <xdr:rowOff>9592</xdr:rowOff>
    </xdr:to>
    <xdr:sp macro="" textlink="">
      <xdr:nvSpPr>
        <xdr:cNvPr id="3216" name="Text Box 144">
          <a:extLst>
            <a:ext uri="{FF2B5EF4-FFF2-40B4-BE49-F238E27FC236}">
              <a16:creationId xmlns:a16="http://schemas.microsoft.com/office/drawing/2014/main" id="{00000000-0008-0000-0100-0000900C0000}"/>
            </a:ext>
          </a:extLst>
        </xdr:cNvPr>
        <xdr:cNvSpPr txBox="1">
          <a:spLocks noChangeArrowheads="1"/>
        </xdr:cNvSpPr>
      </xdr:nvSpPr>
      <xdr:spPr bwMode="auto">
        <a:xfrm>
          <a:off x="4114800" y="224037525"/>
          <a:ext cx="1714500" cy="676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zuzüglich Geschwindigkeitskosten, Terminkosten, etc. 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sofern es sich um einen Nachteil der Eigenmechanisierung handelt</a:t>
          </a:r>
        </a:p>
      </xdr:txBody>
    </xdr:sp>
    <xdr:clientData/>
  </xdr:twoCellAnchor>
  <xdr:twoCellAnchor>
    <xdr:from>
      <xdr:col>15</xdr:col>
      <xdr:colOff>0</xdr:colOff>
      <xdr:row>1393</xdr:row>
      <xdr:rowOff>45720</xdr:rowOff>
    </xdr:from>
    <xdr:to>
      <xdr:col>15</xdr:col>
      <xdr:colOff>0</xdr:colOff>
      <xdr:row>1394</xdr:row>
      <xdr:rowOff>53340</xdr:rowOff>
    </xdr:to>
    <xdr:sp macro="" textlink="">
      <xdr:nvSpPr>
        <xdr:cNvPr id="1640283" name="Line 145">
          <a:extLst>
            <a:ext uri="{FF2B5EF4-FFF2-40B4-BE49-F238E27FC236}">
              <a16:creationId xmlns:a16="http://schemas.microsoft.com/office/drawing/2014/main" id="{00000000-0008-0000-0100-00005B071900}"/>
            </a:ext>
          </a:extLst>
        </xdr:cNvPr>
        <xdr:cNvSpPr>
          <a:spLocks noChangeShapeType="1"/>
        </xdr:cNvSpPr>
      </xdr:nvSpPr>
      <xdr:spPr bwMode="auto">
        <a:xfrm flipV="1">
          <a:off x="5113020" y="221734380"/>
          <a:ext cx="0" cy="182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1393</xdr:row>
      <xdr:rowOff>45720</xdr:rowOff>
    </xdr:from>
    <xdr:to>
      <xdr:col>10</xdr:col>
      <xdr:colOff>0</xdr:colOff>
      <xdr:row>1394</xdr:row>
      <xdr:rowOff>53340</xdr:rowOff>
    </xdr:to>
    <xdr:sp macro="" textlink="">
      <xdr:nvSpPr>
        <xdr:cNvPr id="1640284" name="Line 146">
          <a:extLst>
            <a:ext uri="{FF2B5EF4-FFF2-40B4-BE49-F238E27FC236}">
              <a16:creationId xmlns:a16="http://schemas.microsoft.com/office/drawing/2014/main" id="{00000000-0008-0000-0100-00005C071900}"/>
            </a:ext>
          </a:extLst>
        </xdr:cNvPr>
        <xdr:cNvSpPr>
          <a:spLocks noChangeShapeType="1"/>
        </xdr:cNvSpPr>
      </xdr:nvSpPr>
      <xdr:spPr bwMode="auto">
        <a:xfrm flipV="1">
          <a:off x="2865120" y="221734380"/>
          <a:ext cx="0" cy="182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36274</xdr:colOff>
      <xdr:row>1505</xdr:row>
      <xdr:rowOff>78892</xdr:rowOff>
    </xdr:from>
    <xdr:ext cx="298928" cy="1032270"/>
    <xdr:sp macro="" textlink="">
      <xdr:nvSpPr>
        <xdr:cNvPr id="3219" name="Text Box 147">
          <a:extLst>
            <a:ext uri="{FF2B5EF4-FFF2-40B4-BE49-F238E27FC236}">
              <a16:creationId xmlns:a16="http://schemas.microsoft.com/office/drawing/2014/main" id="{00000000-0008-0000-0100-0000930C0000}"/>
            </a:ext>
          </a:extLst>
        </xdr:cNvPr>
        <xdr:cNvSpPr txBox="1">
          <a:spLocks noChangeArrowheads="1"/>
        </xdr:cNvSpPr>
      </xdr:nvSpPr>
      <xdr:spPr bwMode="auto">
        <a:xfrm>
          <a:off x="104854" y="238935412"/>
          <a:ext cx="298928" cy="1032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ctr" upright="1">
          <a:spAutoFit/>
        </a:bodyPr>
        <a:lstStyle/>
        <a:p>
          <a:pPr algn="ctr" rtl="0">
            <a:defRPr sz="1000"/>
          </a:pPr>
          <a:r>
            <a:rPr lang="de-DE" sz="7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!</a:t>
          </a:r>
        </a:p>
      </xdr:txBody>
    </xdr:sp>
    <xdr:clientData/>
  </xdr:oneCellAnchor>
  <xdr:twoCellAnchor>
    <xdr:from>
      <xdr:col>13</xdr:col>
      <xdr:colOff>262890</xdr:colOff>
      <xdr:row>1633</xdr:row>
      <xdr:rowOff>11430</xdr:rowOff>
    </xdr:from>
    <xdr:to>
      <xdr:col>16</xdr:col>
      <xdr:colOff>424815</xdr:colOff>
      <xdr:row>1634</xdr:row>
      <xdr:rowOff>114409</xdr:rowOff>
    </xdr:to>
    <xdr:sp macro="" textlink="">
      <xdr:nvSpPr>
        <xdr:cNvPr id="3220" name="Text Box 148">
          <a:extLst>
            <a:ext uri="{FF2B5EF4-FFF2-40B4-BE49-F238E27FC236}">
              <a16:creationId xmlns:a16="http://schemas.microsoft.com/office/drawing/2014/main" id="{00000000-0008-0000-0100-0000940C0000}"/>
            </a:ext>
          </a:extLst>
        </xdr:cNvPr>
        <xdr:cNvSpPr txBox="1">
          <a:spLocks noChangeArrowheads="1"/>
        </xdr:cNvSpPr>
      </xdr:nvSpPr>
      <xdr:spPr bwMode="auto">
        <a:xfrm>
          <a:off x="4352925" y="264966450"/>
          <a:ext cx="1476375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700" b="0" i="0" u="none" strike="noStrike" baseline="0">
              <a:solidFill>
                <a:srgbClr val="808080"/>
              </a:solidFill>
              <a:latin typeface="Arial"/>
              <a:cs typeface="Arial"/>
            </a:rPr>
            <a:t>nachträglich berechnet aus:</a:t>
          </a:r>
        </a:p>
        <a:p>
          <a:pPr algn="ctr" rtl="0">
            <a:defRPr sz="1000"/>
          </a:pPr>
          <a:r>
            <a:rPr lang="de-DE" sz="700" b="0" i="0" u="none" strike="noStrike" baseline="0">
              <a:solidFill>
                <a:srgbClr val="808080"/>
              </a:solidFill>
              <a:latin typeface="Arial"/>
              <a:cs typeface="Arial"/>
            </a:rPr>
            <a:t>AfA gesamt  /  Investitionssumme</a:t>
          </a:r>
        </a:p>
      </xdr:txBody>
    </xdr:sp>
    <xdr:clientData/>
  </xdr:twoCellAnchor>
  <xdr:twoCellAnchor>
    <xdr:from>
      <xdr:col>12</xdr:col>
      <xdr:colOff>403860</xdr:colOff>
      <xdr:row>1634</xdr:row>
      <xdr:rowOff>121920</xdr:rowOff>
    </xdr:from>
    <xdr:to>
      <xdr:col>15</xdr:col>
      <xdr:colOff>236220</xdr:colOff>
      <xdr:row>1640</xdr:row>
      <xdr:rowOff>45720</xdr:rowOff>
    </xdr:to>
    <xdr:sp macro="" textlink="">
      <xdr:nvSpPr>
        <xdr:cNvPr id="1640287" name="Freeform 149">
          <a:extLst>
            <a:ext uri="{FF2B5EF4-FFF2-40B4-BE49-F238E27FC236}">
              <a16:creationId xmlns:a16="http://schemas.microsoft.com/office/drawing/2014/main" id="{00000000-0008-0000-0100-00005F071900}"/>
            </a:ext>
          </a:extLst>
        </xdr:cNvPr>
        <xdr:cNvSpPr>
          <a:spLocks/>
        </xdr:cNvSpPr>
      </xdr:nvSpPr>
      <xdr:spPr bwMode="auto">
        <a:xfrm>
          <a:off x="4168140" y="262006080"/>
          <a:ext cx="1181100" cy="975360"/>
        </a:xfrm>
        <a:custGeom>
          <a:avLst/>
          <a:gdLst>
            <a:gd name="T0" fmla="*/ 2147483647 w 121"/>
            <a:gd name="T1" fmla="*/ 0 h 141"/>
            <a:gd name="T2" fmla="*/ 2147483647 w 121"/>
            <a:gd name="T3" fmla="*/ 2147483647 h 141"/>
            <a:gd name="T4" fmla="*/ 2147483647 w 121"/>
            <a:gd name="T5" fmla="*/ 2147483647 h 141"/>
            <a:gd name="T6" fmla="*/ 0 w 121"/>
            <a:gd name="T7" fmla="*/ 2147483647 h 141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21" h="141">
              <a:moveTo>
                <a:pt x="121" y="0"/>
              </a:moveTo>
              <a:lnTo>
                <a:pt x="121" y="141"/>
              </a:lnTo>
              <a:lnTo>
                <a:pt x="8" y="141"/>
              </a:lnTo>
              <a:lnTo>
                <a:pt x="0" y="136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dash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30480</xdr:colOff>
      <xdr:row>1116</xdr:row>
      <xdr:rowOff>160020</xdr:rowOff>
    </xdr:from>
    <xdr:to>
      <xdr:col>16</xdr:col>
      <xdr:colOff>106680</xdr:colOff>
      <xdr:row>1133</xdr:row>
      <xdr:rowOff>146050</xdr:rowOff>
    </xdr:to>
    <xdr:graphicFrame macro="">
      <xdr:nvGraphicFramePr>
        <xdr:cNvPr id="1640288" name="Diagramm 151">
          <a:extLst>
            <a:ext uri="{FF2B5EF4-FFF2-40B4-BE49-F238E27FC236}">
              <a16:creationId xmlns:a16="http://schemas.microsoft.com/office/drawing/2014/main" id="{00000000-0008-0000-0100-000060071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16</xdr:col>
      <xdr:colOff>196215</xdr:colOff>
      <xdr:row>520</xdr:row>
      <xdr:rowOff>122415</xdr:rowOff>
    </xdr:from>
    <xdr:ext cx="145296" cy="164084"/>
    <xdr:sp macro="" textlink="">
      <xdr:nvSpPr>
        <xdr:cNvPr id="3227" name="Text Box 155">
          <a:extLst>
            <a:ext uri="{FF2B5EF4-FFF2-40B4-BE49-F238E27FC236}">
              <a16:creationId xmlns:a16="http://schemas.microsoft.com/office/drawing/2014/main" id="{00000000-0008-0000-0100-00009B0C0000}"/>
            </a:ext>
          </a:extLst>
        </xdr:cNvPr>
        <xdr:cNvSpPr txBox="1">
          <a:spLocks noChangeArrowheads="1"/>
        </xdr:cNvSpPr>
      </xdr:nvSpPr>
      <xdr:spPr bwMode="auto">
        <a:xfrm>
          <a:off x="5860415" y="84507565"/>
          <a:ext cx="145296" cy="164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18288" bIns="22860" anchor="ctr" upright="1">
          <a:spAutoFit/>
        </a:bodyPr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Ø </a:t>
          </a:r>
        </a:p>
      </xdr:txBody>
    </xdr:sp>
    <xdr:clientData/>
  </xdr:oneCellAnchor>
  <xdr:oneCellAnchor>
    <xdr:from>
      <xdr:col>13</xdr:col>
      <xdr:colOff>403860</xdr:colOff>
      <xdr:row>524</xdr:row>
      <xdr:rowOff>158249</xdr:rowOff>
    </xdr:from>
    <xdr:ext cx="470257" cy="164084"/>
    <xdr:sp macro="" textlink="">
      <xdr:nvSpPr>
        <xdr:cNvPr id="3228" name="Text Box 156">
          <a:extLst>
            <a:ext uri="{FF2B5EF4-FFF2-40B4-BE49-F238E27FC236}">
              <a16:creationId xmlns:a16="http://schemas.microsoft.com/office/drawing/2014/main" id="{00000000-0008-0000-0100-00009C0C0000}"/>
            </a:ext>
          </a:extLst>
        </xdr:cNvPr>
        <xdr:cNvSpPr txBox="1">
          <a:spLocks noChangeArrowheads="1"/>
        </xdr:cNvSpPr>
      </xdr:nvSpPr>
      <xdr:spPr bwMode="auto">
        <a:xfrm>
          <a:off x="4617720" y="84389729"/>
          <a:ext cx="470257" cy="164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18288" bIns="22860" anchor="ctr" upright="1">
          <a:spAutoFit/>
        </a:bodyPr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Restwert </a:t>
          </a:r>
        </a:p>
      </xdr:txBody>
    </xdr:sp>
    <xdr:clientData/>
  </xdr:oneCellAnchor>
  <xdr:oneCellAnchor>
    <xdr:from>
      <xdr:col>12</xdr:col>
      <xdr:colOff>348615</xdr:colOff>
      <xdr:row>522</xdr:row>
      <xdr:rowOff>128116</xdr:rowOff>
    </xdr:from>
    <xdr:ext cx="493148" cy="164084"/>
    <xdr:sp macro="" textlink="">
      <xdr:nvSpPr>
        <xdr:cNvPr id="3229" name="Text Box 157">
          <a:extLst>
            <a:ext uri="{FF2B5EF4-FFF2-40B4-BE49-F238E27FC236}">
              <a16:creationId xmlns:a16="http://schemas.microsoft.com/office/drawing/2014/main" id="{00000000-0008-0000-0100-00009D0C0000}"/>
            </a:ext>
          </a:extLst>
        </xdr:cNvPr>
        <xdr:cNvSpPr txBox="1">
          <a:spLocks noChangeArrowheads="1"/>
        </xdr:cNvSpPr>
      </xdr:nvSpPr>
      <xdr:spPr bwMode="auto">
        <a:xfrm>
          <a:off x="4112895" y="84009076"/>
          <a:ext cx="493148" cy="164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18288" bIns="22860" anchor="ctr" upright="1">
          <a:spAutoFit/>
        </a:bodyPr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Buchwert </a:t>
          </a:r>
        </a:p>
      </xdr:txBody>
    </xdr:sp>
    <xdr:clientData/>
  </xdr:oneCellAnchor>
  <xdr:oneCellAnchor>
    <xdr:from>
      <xdr:col>14</xdr:col>
      <xdr:colOff>76200</xdr:colOff>
      <xdr:row>526</xdr:row>
      <xdr:rowOff>45487</xdr:rowOff>
    </xdr:from>
    <xdr:ext cx="236476" cy="164084"/>
    <xdr:sp macro="" textlink="">
      <xdr:nvSpPr>
        <xdr:cNvPr id="3230" name="Text Box 158">
          <a:extLst>
            <a:ext uri="{FF2B5EF4-FFF2-40B4-BE49-F238E27FC236}">
              <a16:creationId xmlns:a16="http://schemas.microsoft.com/office/drawing/2014/main" id="{00000000-0008-0000-0100-00009E0C0000}"/>
            </a:ext>
          </a:extLst>
        </xdr:cNvPr>
        <xdr:cNvSpPr txBox="1">
          <a:spLocks noChangeArrowheads="1"/>
        </xdr:cNvSpPr>
      </xdr:nvSpPr>
      <xdr:spPr bwMode="auto">
        <a:xfrm>
          <a:off x="4826000" y="85497437"/>
          <a:ext cx="236476" cy="164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18288" bIns="22860" anchor="ctr" upright="1">
          <a:spAutoFit/>
        </a:bodyPr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Zeit </a:t>
          </a:r>
        </a:p>
      </xdr:txBody>
    </xdr:sp>
    <xdr:clientData/>
  </xdr:oneCellAnchor>
  <xdr:oneCellAnchor>
    <xdr:from>
      <xdr:col>10</xdr:col>
      <xdr:colOff>66675</xdr:colOff>
      <xdr:row>521</xdr:row>
      <xdr:rowOff>90016</xdr:rowOff>
    </xdr:from>
    <xdr:ext cx="145296" cy="164084"/>
    <xdr:sp macro="" textlink="">
      <xdr:nvSpPr>
        <xdr:cNvPr id="3231" name="Text Box 159">
          <a:extLst>
            <a:ext uri="{FF2B5EF4-FFF2-40B4-BE49-F238E27FC236}">
              <a16:creationId xmlns:a16="http://schemas.microsoft.com/office/drawing/2014/main" id="{00000000-0008-0000-0100-00009F0C0000}"/>
            </a:ext>
          </a:extLst>
        </xdr:cNvPr>
        <xdr:cNvSpPr txBox="1">
          <a:spLocks noChangeArrowheads="1"/>
        </xdr:cNvSpPr>
      </xdr:nvSpPr>
      <xdr:spPr bwMode="auto">
        <a:xfrm>
          <a:off x="2987675" y="84652966"/>
          <a:ext cx="145296" cy="164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18288" bIns="22860" anchor="ctr" upright="1">
          <a:spAutoFit/>
        </a:bodyPr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Ø </a:t>
          </a:r>
        </a:p>
      </xdr:txBody>
    </xdr:sp>
    <xdr:clientData/>
  </xdr:oneCellAnchor>
  <xdr:oneCellAnchor>
    <xdr:from>
      <xdr:col>6</xdr:col>
      <xdr:colOff>142875</xdr:colOff>
      <xdr:row>523</xdr:row>
      <xdr:rowOff>158596</xdr:rowOff>
    </xdr:from>
    <xdr:ext cx="493148" cy="164084"/>
    <xdr:sp macro="" textlink="">
      <xdr:nvSpPr>
        <xdr:cNvPr id="3232" name="Text Box 160">
          <a:extLst>
            <a:ext uri="{FF2B5EF4-FFF2-40B4-BE49-F238E27FC236}">
              <a16:creationId xmlns:a16="http://schemas.microsoft.com/office/drawing/2014/main" id="{00000000-0008-0000-0100-0000A00C0000}"/>
            </a:ext>
          </a:extLst>
        </xdr:cNvPr>
        <xdr:cNvSpPr txBox="1">
          <a:spLocks noChangeArrowheads="1"/>
        </xdr:cNvSpPr>
      </xdr:nvSpPr>
      <xdr:spPr bwMode="auto">
        <a:xfrm>
          <a:off x="1209675" y="84214816"/>
          <a:ext cx="493148" cy="164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18288" bIns="22860" anchor="ctr" upright="1">
          <a:spAutoFit/>
        </a:bodyPr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Buchwert </a:t>
          </a:r>
        </a:p>
      </xdr:txBody>
    </xdr:sp>
    <xdr:clientData/>
  </xdr:oneCellAnchor>
  <xdr:oneCellAnchor>
    <xdr:from>
      <xdr:col>7</xdr:col>
      <xdr:colOff>358140</xdr:colOff>
      <xdr:row>526</xdr:row>
      <xdr:rowOff>51569</xdr:rowOff>
    </xdr:from>
    <xdr:ext cx="236476" cy="164084"/>
    <xdr:sp macro="" textlink="">
      <xdr:nvSpPr>
        <xdr:cNvPr id="3233" name="Text Box 161">
          <a:extLst>
            <a:ext uri="{FF2B5EF4-FFF2-40B4-BE49-F238E27FC236}">
              <a16:creationId xmlns:a16="http://schemas.microsoft.com/office/drawing/2014/main" id="{00000000-0008-0000-0100-0000A10C0000}"/>
            </a:ext>
          </a:extLst>
        </xdr:cNvPr>
        <xdr:cNvSpPr txBox="1">
          <a:spLocks noChangeArrowheads="1"/>
        </xdr:cNvSpPr>
      </xdr:nvSpPr>
      <xdr:spPr bwMode="auto">
        <a:xfrm>
          <a:off x="1907540" y="85503519"/>
          <a:ext cx="236476" cy="164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18288" bIns="22860" anchor="ctr" upright="1">
          <a:spAutoFit/>
        </a:bodyPr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Zeit </a:t>
          </a:r>
        </a:p>
      </xdr:txBody>
    </xdr:sp>
    <xdr:clientData/>
  </xdr:oneCellAnchor>
  <xdr:twoCellAnchor>
    <xdr:from>
      <xdr:col>4</xdr:col>
      <xdr:colOff>0</xdr:colOff>
      <xdr:row>561</xdr:row>
      <xdr:rowOff>19050</xdr:rowOff>
    </xdr:from>
    <xdr:to>
      <xdr:col>17</xdr:col>
      <xdr:colOff>0</xdr:colOff>
      <xdr:row>577</xdr:row>
      <xdr:rowOff>19050</xdr:rowOff>
    </xdr:to>
    <xdr:graphicFrame macro="">
      <xdr:nvGraphicFramePr>
        <xdr:cNvPr id="1640296" name="Diagramm 165">
          <a:extLst>
            <a:ext uri="{FF2B5EF4-FFF2-40B4-BE49-F238E27FC236}">
              <a16:creationId xmlns:a16="http://schemas.microsoft.com/office/drawing/2014/main" id="{00000000-0008-0000-0100-000068071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57150</xdr:colOff>
      <xdr:row>561</xdr:row>
      <xdr:rowOff>76200</xdr:rowOff>
    </xdr:from>
    <xdr:to>
      <xdr:col>16</xdr:col>
      <xdr:colOff>367670</xdr:colOff>
      <xdr:row>562</xdr:row>
      <xdr:rowOff>49711</xdr:rowOff>
    </xdr:to>
    <xdr:sp macro="" textlink="">
      <xdr:nvSpPr>
        <xdr:cNvPr id="3236" name="Text Box 164">
          <a:extLst>
            <a:ext uri="{FF2B5EF4-FFF2-40B4-BE49-F238E27FC236}">
              <a16:creationId xmlns:a16="http://schemas.microsoft.com/office/drawing/2014/main" id="{00000000-0008-0000-0100-0000A40C0000}"/>
            </a:ext>
          </a:extLst>
        </xdr:cNvPr>
        <xdr:cNvSpPr txBox="1">
          <a:spLocks noChangeArrowheads="1"/>
        </xdr:cNvSpPr>
      </xdr:nvSpPr>
      <xdr:spPr bwMode="auto">
        <a:xfrm>
          <a:off x="5029200" y="90211275"/>
          <a:ext cx="7429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Bei Zinsfuß =</a:t>
          </a:r>
        </a:p>
      </xdr:txBody>
    </xdr:sp>
    <xdr:clientData/>
  </xdr:twoCellAnchor>
  <xdr:twoCellAnchor editAs="oneCell">
    <xdr:from>
      <xdr:col>5</xdr:col>
      <xdr:colOff>310515</xdr:colOff>
      <xdr:row>130</xdr:row>
      <xdr:rowOff>146685</xdr:rowOff>
    </xdr:from>
    <xdr:to>
      <xdr:col>6</xdr:col>
      <xdr:colOff>320040</xdr:colOff>
      <xdr:row>133</xdr:row>
      <xdr:rowOff>99060</xdr:rowOff>
    </xdr:to>
    <xdr:sp macro="" textlink="">
      <xdr:nvSpPr>
        <xdr:cNvPr id="3240" name="Text Box 168">
          <a:extLst>
            <a:ext uri="{FF2B5EF4-FFF2-40B4-BE49-F238E27FC236}">
              <a16:creationId xmlns:a16="http://schemas.microsoft.com/office/drawing/2014/main" id="{00000000-0008-0000-0100-0000A80C0000}"/>
            </a:ext>
          </a:extLst>
        </xdr:cNvPr>
        <xdr:cNvSpPr txBox="1">
          <a:spLocks noChangeArrowheads="1"/>
        </xdr:cNvSpPr>
      </xdr:nvSpPr>
      <xdr:spPr bwMode="auto">
        <a:xfrm>
          <a:off x="895350" y="22317075"/>
          <a:ext cx="4476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Buch-wert</a:t>
          </a:r>
        </a:p>
      </xdr:txBody>
    </xdr:sp>
    <xdr:clientData/>
  </xdr:twoCellAnchor>
  <xdr:twoCellAnchor editAs="oneCell">
    <xdr:from>
      <xdr:col>5</xdr:col>
      <xdr:colOff>300990</xdr:colOff>
      <xdr:row>173</xdr:row>
      <xdr:rowOff>85725</xdr:rowOff>
    </xdr:from>
    <xdr:to>
      <xdr:col>6</xdr:col>
      <xdr:colOff>310515</xdr:colOff>
      <xdr:row>176</xdr:row>
      <xdr:rowOff>38100</xdr:rowOff>
    </xdr:to>
    <xdr:sp macro="" textlink="">
      <xdr:nvSpPr>
        <xdr:cNvPr id="3241" name="Text Box 169">
          <a:extLst>
            <a:ext uri="{FF2B5EF4-FFF2-40B4-BE49-F238E27FC236}">
              <a16:creationId xmlns:a16="http://schemas.microsoft.com/office/drawing/2014/main" id="{00000000-0008-0000-0100-0000A90C0000}"/>
            </a:ext>
          </a:extLst>
        </xdr:cNvPr>
        <xdr:cNvSpPr txBox="1">
          <a:spLocks noChangeArrowheads="1"/>
        </xdr:cNvSpPr>
      </xdr:nvSpPr>
      <xdr:spPr bwMode="auto">
        <a:xfrm>
          <a:off x="885825" y="30089475"/>
          <a:ext cx="4476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Buch-wert</a:t>
          </a:r>
        </a:p>
      </xdr:txBody>
    </xdr:sp>
    <xdr:clientData/>
  </xdr:twoCellAnchor>
  <xdr:twoCellAnchor editAs="oneCell">
    <xdr:from>
      <xdr:col>5</xdr:col>
      <xdr:colOff>310515</xdr:colOff>
      <xdr:row>250</xdr:row>
      <xdr:rowOff>99060</xdr:rowOff>
    </xdr:from>
    <xdr:to>
      <xdr:col>6</xdr:col>
      <xdr:colOff>320040</xdr:colOff>
      <xdr:row>253</xdr:row>
      <xdr:rowOff>49775</xdr:rowOff>
    </xdr:to>
    <xdr:sp macro="" textlink="">
      <xdr:nvSpPr>
        <xdr:cNvPr id="3242" name="Text Box 170">
          <a:extLst>
            <a:ext uri="{FF2B5EF4-FFF2-40B4-BE49-F238E27FC236}">
              <a16:creationId xmlns:a16="http://schemas.microsoft.com/office/drawing/2014/main" id="{00000000-0008-0000-0100-0000AA0C0000}"/>
            </a:ext>
          </a:extLst>
        </xdr:cNvPr>
        <xdr:cNvSpPr txBox="1">
          <a:spLocks noChangeArrowheads="1"/>
        </xdr:cNvSpPr>
      </xdr:nvSpPr>
      <xdr:spPr bwMode="auto">
        <a:xfrm>
          <a:off x="895350" y="44157900"/>
          <a:ext cx="4476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Buch-wert</a:t>
          </a:r>
        </a:p>
      </xdr:txBody>
    </xdr:sp>
    <xdr:clientData/>
  </xdr:twoCellAnchor>
  <xdr:twoCellAnchor editAs="oneCell">
    <xdr:from>
      <xdr:col>5</xdr:col>
      <xdr:colOff>281940</xdr:colOff>
      <xdr:row>302</xdr:row>
      <xdr:rowOff>47625</xdr:rowOff>
    </xdr:from>
    <xdr:to>
      <xdr:col>6</xdr:col>
      <xdr:colOff>285947</xdr:colOff>
      <xdr:row>305</xdr:row>
      <xdr:rowOff>0</xdr:rowOff>
    </xdr:to>
    <xdr:sp macro="" textlink="">
      <xdr:nvSpPr>
        <xdr:cNvPr id="3243" name="Text Box 171">
          <a:extLst>
            <a:ext uri="{FF2B5EF4-FFF2-40B4-BE49-F238E27FC236}">
              <a16:creationId xmlns:a16="http://schemas.microsoft.com/office/drawing/2014/main" id="{00000000-0008-0000-0100-0000AB0C0000}"/>
            </a:ext>
          </a:extLst>
        </xdr:cNvPr>
        <xdr:cNvSpPr txBox="1">
          <a:spLocks noChangeArrowheads="1"/>
        </xdr:cNvSpPr>
      </xdr:nvSpPr>
      <xdr:spPr bwMode="auto">
        <a:xfrm>
          <a:off x="866775" y="53511450"/>
          <a:ext cx="4476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Buch-wert</a:t>
          </a:r>
        </a:p>
      </xdr:txBody>
    </xdr:sp>
    <xdr:clientData/>
  </xdr:twoCellAnchor>
  <xdr:twoCellAnchor editAs="oneCell">
    <xdr:from>
      <xdr:col>5</xdr:col>
      <xdr:colOff>300990</xdr:colOff>
      <xdr:row>356</xdr:row>
      <xdr:rowOff>49530</xdr:rowOff>
    </xdr:from>
    <xdr:to>
      <xdr:col>6</xdr:col>
      <xdr:colOff>310515</xdr:colOff>
      <xdr:row>359</xdr:row>
      <xdr:rowOff>9617</xdr:rowOff>
    </xdr:to>
    <xdr:sp macro="" textlink="">
      <xdr:nvSpPr>
        <xdr:cNvPr id="3244" name="Text Box 172">
          <a:extLst>
            <a:ext uri="{FF2B5EF4-FFF2-40B4-BE49-F238E27FC236}">
              <a16:creationId xmlns:a16="http://schemas.microsoft.com/office/drawing/2014/main" id="{00000000-0008-0000-0100-0000AC0C0000}"/>
            </a:ext>
          </a:extLst>
        </xdr:cNvPr>
        <xdr:cNvSpPr txBox="1">
          <a:spLocks noChangeArrowheads="1"/>
        </xdr:cNvSpPr>
      </xdr:nvSpPr>
      <xdr:spPr bwMode="auto">
        <a:xfrm>
          <a:off x="885825" y="63646050"/>
          <a:ext cx="4476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Buch-wert</a:t>
          </a:r>
        </a:p>
      </xdr:txBody>
    </xdr:sp>
    <xdr:clientData/>
  </xdr:twoCellAnchor>
  <xdr:twoCellAnchor editAs="oneCell">
    <xdr:from>
      <xdr:col>5</xdr:col>
      <xdr:colOff>310515</xdr:colOff>
      <xdr:row>397</xdr:row>
      <xdr:rowOff>38100</xdr:rowOff>
    </xdr:from>
    <xdr:to>
      <xdr:col>6</xdr:col>
      <xdr:colOff>320040</xdr:colOff>
      <xdr:row>399</xdr:row>
      <xdr:rowOff>163890</xdr:rowOff>
    </xdr:to>
    <xdr:sp macro="" textlink="">
      <xdr:nvSpPr>
        <xdr:cNvPr id="3245" name="Text Box 173">
          <a:extLst>
            <a:ext uri="{FF2B5EF4-FFF2-40B4-BE49-F238E27FC236}">
              <a16:creationId xmlns:a16="http://schemas.microsoft.com/office/drawing/2014/main" id="{00000000-0008-0000-0100-0000AD0C0000}"/>
            </a:ext>
          </a:extLst>
        </xdr:cNvPr>
        <xdr:cNvSpPr txBox="1">
          <a:spLocks noChangeArrowheads="1"/>
        </xdr:cNvSpPr>
      </xdr:nvSpPr>
      <xdr:spPr bwMode="auto">
        <a:xfrm>
          <a:off x="895350" y="71161275"/>
          <a:ext cx="4476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Buch-wert</a:t>
          </a:r>
        </a:p>
      </xdr:txBody>
    </xdr:sp>
    <xdr:clientData/>
  </xdr:twoCellAnchor>
  <xdr:twoCellAnchor editAs="oneCell">
    <xdr:from>
      <xdr:col>13</xdr:col>
      <xdr:colOff>415290</xdr:colOff>
      <xdr:row>135</xdr:row>
      <xdr:rowOff>123825</xdr:rowOff>
    </xdr:from>
    <xdr:to>
      <xdr:col>16</xdr:col>
      <xdr:colOff>377190</xdr:colOff>
      <xdr:row>136</xdr:row>
      <xdr:rowOff>146844</xdr:rowOff>
    </xdr:to>
    <xdr:sp macro="" textlink="">
      <xdr:nvSpPr>
        <xdr:cNvPr id="3246" name="Text Box 174">
          <a:extLst>
            <a:ext uri="{FF2B5EF4-FFF2-40B4-BE49-F238E27FC236}">
              <a16:creationId xmlns:a16="http://schemas.microsoft.com/office/drawing/2014/main" id="{00000000-0008-0000-0100-0000AE0C0000}"/>
            </a:ext>
          </a:extLst>
        </xdr:cNvPr>
        <xdr:cNvSpPr txBox="1">
          <a:spLocks noChangeArrowheads="1"/>
        </xdr:cNvSpPr>
      </xdr:nvSpPr>
      <xdr:spPr bwMode="auto">
        <a:xfrm>
          <a:off x="4505325" y="23193375"/>
          <a:ext cx="1276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Nutzungsjahre</a:t>
          </a:r>
        </a:p>
      </xdr:txBody>
    </xdr:sp>
    <xdr:clientData/>
  </xdr:twoCellAnchor>
  <xdr:twoCellAnchor>
    <xdr:from>
      <xdr:col>12</xdr:col>
      <xdr:colOff>426720</xdr:colOff>
      <xdr:row>136</xdr:row>
      <xdr:rowOff>30480</xdr:rowOff>
    </xdr:from>
    <xdr:to>
      <xdr:col>13</xdr:col>
      <xdr:colOff>419100</xdr:colOff>
      <xdr:row>136</xdr:row>
      <xdr:rowOff>30480</xdr:rowOff>
    </xdr:to>
    <xdr:sp macro="" textlink="">
      <xdr:nvSpPr>
        <xdr:cNvPr id="1640305" name="Line 175">
          <a:extLst>
            <a:ext uri="{FF2B5EF4-FFF2-40B4-BE49-F238E27FC236}">
              <a16:creationId xmlns:a16="http://schemas.microsoft.com/office/drawing/2014/main" id="{00000000-0008-0000-0100-000071071900}"/>
            </a:ext>
          </a:extLst>
        </xdr:cNvPr>
        <xdr:cNvSpPr>
          <a:spLocks noChangeShapeType="1"/>
        </xdr:cNvSpPr>
      </xdr:nvSpPr>
      <xdr:spPr bwMode="auto">
        <a:xfrm flipH="1">
          <a:off x="4191000" y="25077420"/>
          <a:ext cx="4419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13</xdr:col>
      <xdr:colOff>415290</xdr:colOff>
      <xdr:row>178</xdr:row>
      <xdr:rowOff>114300</xdr:rowOff>
    </xdr:from>
    <xdr:to>
      <xdr:col>16</xdr:col>
      <xdr:colOff>377190</xdr:colOff>
      <xdr:row>179</xdr:row>
      <xdr:rowOff>137319</xdr:rowOff>
    </xdr:to>
    <xdr:sp macro="" textlink="">
      <xdr:nvSpPr>
        <xdr:cNvPr id="3248" name="Text Box 176">
          <a:extLst>
            <a:ext uri="{FF2B5EF4-FFF2-40B4-BE49-F238E27FC236}">
              <a16:creationId xmlns:a16="http://schemas.microsoft.com/office/drawing/2014/main" id="{00000000-0008-0000-0100-0000B00C0000}"/>
            </a:ext>
          </a:extLst>
        </xdr:cNvPr>
        <xdr:cNvSpPr txBox="1">
          <a:spLocks noChangeArrowheads="1"/>
        </xdr:cNvSpPr>
      </xdr:nvSpPr>
      <xdr:spPr bwMode="auto">
        <a:xfrm>
          <a:off x="4505325" y="31022925"/>
          <a:ext cx="1276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Nutzungsjahre</a:t>
          </a:r>
        </a:p>
      </xdr:txBody>
    </xdr:sp>
    <xdr:clientData/>
  </xdr:twoCellAnchor>
  <xdr:twoCellAnchor>
    <xdr:from>
      <xdr:col>12</xdr:col>
      <xdr:colOff>426720</xdr:colOff>
      <xdr:row>179</xdr:row>
      <xdr:rowOff>15240</xdr:rowOff>
    </xdr:from>
    <xdr:to>
      <xdr:col>13</xdr:col>
      <xdr:colOff>419100</xdr:colOff>
      <xdr:row>179</xdr:row>
      <xdr:rowOff>15240</xdr:rowOff>
    </xdr:to>
    <xdr:sp macro="" textlink="">
      <xdr:nvSpPr>
        <xdr:cNvPr id="1640307" name="Line 177">
          <a:extLst>
            <a:ext uri="{FF2B5EF4-FFF2-40B4-BE49-F238E27FC236}">
              <a16:creationId xmlns:a16="http://schemas.microsoft.com/office/drawing/2014/main" id="{00000000-0008-0000-0100-000073071900}"/>
            </a:ext>
          </a:extLst>
        </xdr:cNvPr>
        <xdr:cNvSpPr>
          <a:spLocks noChangeShapeType="1"/>
        </xdr:cNvSpPr>
      </xdr:nvSpPr>
      <xdr:spPr bwMode="auto">
        <a:xfrm flipH="1">
          <a:off x="4191000" y="32659320"/>
          <a:ext cx="4419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13</xdr:col>
      <xdr:colOff>415290</xdr:colOff>
      <xdr:row>254</xdr:row>
      <xdr:rowOff>123825</xdr:rowOff>
    </xdr:from>
    <xdr:to>
      <xdr:col>16</xdr:col>
      <xdr:colOff>377190</xdr:colOff>
      <xdr:row>255</xdr:row>
      <xdr:rowOff>146844</xdr:rowOff>
    </xdr:to>
    <xdr:sp macro="" textlink="">
      <xdr:nvSpPr>
        <xdr:cNvPr id="3250" name="Text Box 178">
          <a:extLst>
            <a:ext uri="{FF2B5EF4-FFF2-40B4-BE49-F238E27FC236}">
              <a16:creationId xmlns:a16="http://schemas.microsoft.com/office/drawing/2014/main" id="{00000000-0008-0000-0100-0000B20C0000}"/>
            </a:ext>
          </a:extLst>
        </xdr:cNvPr>
        <xdr:cNvSpPr txBox="1">
          <a:spLocks noChangeArrowheads="1"/>
        </xdr:cNvSpPr>
      </xdr:nvSpPr>
      <xdr:spPr bwMode="auto">
        <a:xfrm>
          <a:off x="4505325" y="44900850"/>
          <a:ext cx="1276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Nutzungsjahre</a:t>
          </a:r>
        </a:p>
      </xdr:txBody>
    </xdr:sp>
    <xdr:clientData/>
  </xdr:twoCellAnchor>
  <xdr:twoCellAnchor>
    <xdr:from>
      <xdr:col>12</xdr:col>
      <xdr:colOff>426720</xdr:colOff>
      <xdr:row>255</xdr:row>
      <xdr:rowOff>30480</xdr:rowOff>
    </xdr:from>
    <xdr:to>
      <xdr:col>13</xdr:col>
      <xdr:colOff>419100</xdr:colOff>
      <xdr:row>255</xdr:row>
      <xdr:rowOff>30480</xdr:rowOff>
    </xdr:to>
    <xdr:sp macro="" textlink="">
      <xdr:nvSpPr>
        <xdr:cNvPr id="1640309" name="Line 179">
          <a:extLst>
            <a:ext uri="{FF2B5EF4-FFF2-40B4-BE49-F238E27FC236}">
              <a16:creationId xmlns:a16="http://schemas.microsoft.com/office/drawing/2014/main" id="{00000000-0008-0000-0100-000075071900}"/>
            </a:ext>
          </a:extLst>
        </xdr:cNvPr>
        <xdr:cNvSpPr>
          <a:spLocks noChangeShapeType="1"/>
        </xdr:cNvSpPr>
      </xdr:nvSpPr>
      <xdr:spPr bwMode="auto">
        <a:xfrm flipH="1">
          <a:off x="4191000" y="46146720"/>
          <a:ext cx="4419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13</xdr:col>
      <xdr:colOff>415290</xdr:colOff>
      <xdr:row>306</xdr:row>
      <xdr:rowOff>123825</xdr:rowOff>
    </xdr:from>
    <xdr:to>
      <xdr:col>16</xdr:col>
      <xdr:colOff>377190</xdr:colOff>
      <xdr:row>307</xdr:row>
      <xdr:rowOff>146844</xdr:rowOff>
    </xdr:to>
    <xdr:sp macro="" textlink="">
      <xdr:nvSpPr>
        <xdr:cNvPr id="3252" name="Text Box 180">
          <a:extLst>
            <a:ext uri="{FF2B5EF4-FFF2-40B4-BE49-F238E27FC236}">
              <a16:creationId xmlns:a16="http://schemas.microsoft.com/office/drawing/2014/main" id="{00000000-0008-0000-0100-0000B40C0000}"/>
            </a:ext>
          </a:extLst>
        </xdr:cNvPr>
        <xdr:cNvSpPr txBox="1">
          <a:spLocks noChangeArrowheads="1"/>
        </xdr:cNvSpPr>
      </xdr:nvSpPr>
      <xdr:spPr bwMode="auto">
        <a:xfrm>
          <a:off x="4505325" y="54311550"/>
          <a:ext cx="1276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Nutzungsjahre</a:t>
          </a:r>
        </a:p>
      </xdr:txBody>
    </xdr:sp>
    <xdr:clientData/>
  </xdr:twoCellAnchor>
  <xdr:twoCellAnchor>
    <xdr:from>
      <xdr:col>12</xdr:col>
      <xdr:colOff>426720</xdr:colOff>
      <xdr:row>307</xdr:row>
      <xdr:rowOff>30480</xdr:rowOff>
    </xdr:from>
    <xdr:to>
      <xdr:col>13</xdr:col>
      <xdr:colOff>419100</xdr:colOff>
      <xdr:row>307</xdr:row>
      <xdr:rowOff>30480</xdr:rowOff>
    </xdr:to>
    <xdr:sp macro="" textlink="">
      <xdr:nvSpPr>
        <xdr:cNvPr id="1640311" name="Line 181">
          <a:extLst>
            <a:ext uri="{FF2B5EF4-FFF2-40B4-BE49-F238E27FC236}">
              <a16:creationId xmlns:a16="http://schemas.microsoft.com/office/drawing/2014/main" id="{00000000-0008-0000-0100-000077071900}"/>
            </a:ext>
          </a:extLst>
        </xdr:cNvPr>
        <xdr:cNvSpPr>
          <a:spLocks noChangeShapeType="1"/>
        </xdr:cNvSpPr>
      </xdr:nvSpPr>
      <xdr:spPr bwMode="auto">
        <a:xfrm flipH="1">
          <a:off x="4191000" y="55260240"/>
          <a:ext cx="4419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13</xdr:col>
      <xdr:colOff>415290</xdr:colOff>
      <xdr:row>361</xdr:row>
      <xdr:rowOff>123825</xdr:rowOff>
    </xdr:from>
    <xdr:to>
      <xdr:col>16</xdr:col>
      <xdr:colOff>377190</xdr:colOff>
      <xdr:row>362</xdr:row>
      <xdr:rowOff>146844</xdr:rowOff>
    </xdr:to>
    <xdr:sp macro="" textlink="">
      <xdr:nvSpPr>
        <xdr:cNvPr id="3254" name="Text Box 182">
          <a:extLst>
            <a:ext uri="{FF2B5EF4-FFF2-40B4-BE49-F238E27FC236}">
              <a16:creationId xmlns:a16="http://schemas.microsoft.com/office/drawing/2014/main" id="{00000000-0008-0000-0100-0000B60C0000}"/>
            </a:ext>
          </a:extLst>
        </xdr:cNvPr>
        <xdr:cNvSpPr txBox="1">
          <a:spLocks noChangeArrowheads="1"/>
        </xdr:cNvSpPr>
      </xdr:nvSpPr>
      <xdr:spPr bwMode="auto">
        <a:xfrm>
          <a:off x="4505325" y="64617600"/>
          <a:ext cx="1276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Nutzungsjahre</a:t>
          </a:r>
        </a:p>
      </xdr:txBody>
    </xdr:sp>
    <xdr:clientData/>
  </xdr:twoCellAnchor>
  <xdr:twoCellAnchor>
    <xdr:from>
      <xdr:col>12</xdr:col>
      <xdr:colOff>426720</xdr:colOff>
      <xdr:row>362</xdr:row>
      <xdr:rowOff>30480</xdr:rowOff>
    </xdr:from>
    <xdr:to>
      <xdr:col>13</xdr:col>
      <xdr:colOff>419100</xdr:colOff>
      <xdr:row>362</xdr:row>
      <xdr:rowOff>30480</xdr:rowOff>
    </xdr:to>
    <xdr:sp macro="" textlink="">
      <xdr:nvSpPr>
        <xdr:cNvPr id="1640313" name="Line 183">
          <a:extLst>
            <a:ext uri="{FF2B5EF4-FFF2-40B4-BE49-F238E27FC236}">
              <a16:creationId xmlns:a16="http://schemas.microsoft.com/office/drawing/2014/main" id="{00000000-0008-0000-0100-000079071900}"/>
            </a:ext>
          </a:extLst>
        </xdr:cNvPr>
        <xdr:cNvSpPr>
          <a:spLocks noChangeShapeType="1"/>
        </xdr:cNvSpPr>
      </xdr:nvSpPr>
      <xdr:spPr bwMode="auto">
        <a:xfrm flipH="1">
          <a:off x="4191000" y="65082420"/>
          <a:ext cx="4419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13</xdr:col>
      <xdr:colOff>415290</xdr:colOff>
      <xdr:row>402</xdr:row>
      <xdr:rowOff>38100</xdr:rowOff>
    </xdr:from>
    <xdr:to>
      <xdr:col>16</xdr:col>
      <xdr:colOff>377190</xdr:colOff>
      <xdr:row>403</xdr:row>
      <xdr:rowOff>61119</xdr:rowOff>
    </xdr:to>
    <xdr:sp macro="" textlink="">
      <xdr:nvSpPr>
        <xdr:cNvPr id="3256" name="Text Box 184">
          <a:extLst>
            <a:ext uri="{FF2B5EF4-FFF2-40B4-BE49-F238E27FC236}">
              <a16:creationId xmlns:a16="http://schemas.microsoft.com/office/drawing/2014/main" id="{00000000-0008-0000-0100-0000B80C0000}"/>
            </a:ext>
          </a:extLst>
        </xdr:cNvPr>
        <xdr:cNvSpPr txBox="1">
          <a:spLocks noChangeArrowheads="1"/>
        </xdr:cNvSpPr>
      </xdr:nvSpPr>
      <xdr:spPr bwMode="auto">
        <a:xfrm>
          <a:off x="4505325" y="72066150"/>
          <a:ext cx="1276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Nutzungsjahre</a:t>
          </a:r>
        </a:p>
      </xdr:txBody>
    </xdr:sp>
    <xdr:clientData/>
  </xdr:twoCellAnchor>
  <xdr:twoCellAnchor>
    <xdr:from>
      <xdr:col>12</xdr:col>
      <xdr:colOff>426720</xdr:colOff>
      <xdr:row>402</xdr:row>
      <xdr:rowOff>121920</xdr:rowOff>
    </xdr:from>
    <xdr:to>
      <xdr:col>13</xdr:col>
      <xdr:colOff>419100</xdr:colOff>
      <xdr:row>402</xdr:row>
      <xdr:rowOff>121920</xdr:rowOff>
    </xdr:to>
    <xdr:sp macro="" textlink="">
      <xdr:nvSpPr>
        <xdr:cNvPr id="1640315" name="Line 185">
          <a:extLst>
            <a:ext uri="{FF2B5EF4-FFF2-40B4-BE49-F238E27FC236}">
              <a16:creationId xmlns:a16="http://schemas.microsoft.com/office/drawing/2014/main" id="{00000000-0008-0000-0100-00007B071900}"/>
            </a:ext>
          </a:extLst>
        </xdr:cNvPr>
        <xdr:cNvSpPr>
          <a:spLocks noChangeShapeType="1"/>
        </xdr:cNvSpPr>
      </xdr:nvSpPr>
      <xdr:spPr bwMode="auto">
        <a:xfrm flipH="1">
          <a:off x="4191000" y="72306180"/>
          <a:ext cx="4419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182880</xdr:colOff>
      <xdr:row>1411</xdr:row>
      <xdr:rowOff>121920</xdr:rowOff>
    </xdr:from>
    <xdr:to>
      <xdr:col>16</xdr:col>
      <xdr:colOff>411480</xdr:colOff>
      <xdr:row>1415</xdr:row>
      <xdr:rowOff>38100</xdr:rowOff>
    </xdr:to>
    <xdr:sp macro="" textlink="">
      <xdr:nvSpPr>
        <xdr:cNvPr id="109" name="Eckige Klammer links/rechts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 bwMode="auto">
        <a:xfrm>
          <a:off x="3947160" y="230626920"/>
          <a:ext cx="2026920" cy="502920"/>
        </a:xfrm>
        <a:prstGeom prst="bracketPair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0</xdr:colOff>
      <xdr:row>1415</xdr:row>
      <xdr:rowOff>0</xdr:rowOff>
    </xdr:from>
    <xdr:to>
      <xdr:col>11</xdr:col>
      <xdr:colOff>198120</xdr:colOff>
      <xdr:row>1415</xdr:row>
      <xdr:rowOff>83820</xdr:rowOff>
    </xdr:to>
    <xdr:sp macro="" textlink="">
      <xdr:nvSpPr>
        <xdr:cNvPr id="110" name="Line 14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H="1" flipV="1">
          <a:off x="2865120" y="230703120"/>
          <a:ext cx="647700" cy="838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327660</xdr:colOff>
      <xdr:row>1414</xdr:row>
      <xdr:rowOff>129540</xdr:rowOff>
    </xdr:from>
    <xdr:to>
      <xdr:col>13</xdr:col>
      <xdr:colOff>121920</xdr:colOff>
      <xdr:row>1415</xdr:row>
      <xdr:rowOff>83820</xdr:rowOff>
    </xdr:to>
    <xdr:sp macro="" textlink="">
      <xdr:nvSpPr>
        <xdr:cNvPr id="111" name="Line 14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4091940" y="230695500"/>
          <a:ext cx="243840" cy="914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99060</xdr:colOff>
      <xdr:row>753</xdr:row>
      <xdr:rowOff>0</xdr:rowOff>
    </xdr:from>
    <xdr:to>
      <xdr:col>10</xdr:col>
      <xdr:colOff>373380</xdr:colOff>
      <xdr:row>763</xdr:row>
      <xdr:rowOff>0</xdr:rowOff>
    </xdr:to>
    <xdr:graphicFrame macro="">
      <xdr:nvGraphicFramePr>
        <xdr:cNvPr id="112" name="Diagramm 134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123825</xdr:colOff>
      <xdr:row>679</xdr:row>
      <xdr:rowOff>57150</xdr:rowOff>
    </xdr:from>
    <xdr:to>
      <xdr:col>14</xdr:col>
      <xdr:colOff>200025</xdr:colOff>
      <xdr:row>680</xdr:row>
      <xdr:rowOff>161925</xdr:rowOff>
    </xdr:to>
    <xdr:sp macro="" textlink="">
      <xdr:nvSpPr>
        <xdr:cNvPr id="3" name="Geschweifte Klammer recht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4243078" y="109191384"/>
          <a:ext cx="76200" cy="285379"/>
        </a:xfrm>
        <a:prstGeom prst="rightBrace">
          <a:avLst>
            <a:gd name="adj1" fmla="val 31060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234723</xdr:colOff>
      <xdr:row>638</xdr:row>
      <xdr:rowOff>129948</xdr:rowOff>
    </xdr:from>
    <xdr:to>
      <xdr:col>15</xdr:col>
      <xdr:colOff>225852</xdr:colOff>
      <xdr:row>640</xdr:row>
      <xdr:rowOff>130719</xdr:rowOff>
    </xdr:to>
    <xdr:sp macro="" textlink="">
      <xdr:nvSpPr>
        <xdr:cNvPr id="5" name="Bo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 rot="16200000">
          <a:off x="4859052" y="106616105"/>
          <a:ext cx="360000" cy="432000"/>
        </a:xfrm>
        <a:prstGeom prst="arc">
          <a:avLst>
            <a:gd name="adj1" fmla="val 16200000"/>
            <a:gd name="adj2" fmla="val 5458368"/>
          </a:avLst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234723</xdr:colOff>
      <xdr:row>689</xdr:row>
      <xdr:rowOff>129948</xdr:rowOff>
    </xdr:from>
    <xdr:to>
      <xdr:col>15</xdr:col>
      <xdr:colOff>225852</xdr:colOff>
      <xdr:row>691</xdr:row>
      <xdr:rowOff>130719</xdr:rowOff>
    </xdr:to>
    <xdr:sp macro="" textlink="">
      <xdr:nvSpPr>
        <xdr:cNvPr id="117" name="Bogen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/>
      </xdr:nvSpPr>
      <xdr:spPr bwMode="auto">
        <a:xfrm rot="16200000">
          <a:off x="4859052" y="106616105"/>
          <a:ext cx="360000" cy="432000"/>
        </a:xfrm>
        <a:prstGeom prst="arc">
          <a:avLst>
            <a:gd name="adj1" fmla="val 16200000"/>
            <a:gd name="adj2" fmla="val 5458368"/>
          </a:avLst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234723</xdr:colOff>
      <xdr:row>743</xdr:row>
      <xdr:rowOff>166583</xdr:rowOff>
    </xdr:from>
    <xdr:to>
      <xdr:col>15</xdr:col>
      <xdr:colOff>225852</xdr:colOff>
      <xdr:row>745</xdr:row>
      <xdr:rowOff>167354</xdr:rowOff>
    </xdr:to>
    <xdr:sp macro="" textlink="">
      <xdr:nvSpPr>
        <xdr:cNvPr id="118" name="Bogen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/>
      </xdr:nvSpPr>
      <xdr:spPr bwMode="auto">
        <a:xfrm rot="16200000">
          <a:off x="4838536" y="127967597"/>
          <a:ext cx="367117" cy="430744"/>
        </a:xfrm>
        <a:prstGeom prst="arc">
          <a:avLst>
            <a:gd name="adj1" fmla="val 16200000"/>
            <a:gd name="adj2" fmla="val 5458368"/>
          </a:avLst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de-DE" sz="1100"/>
        </a:p>
      </xdr:txBody>
    </xdr:sp>
    <xdr:clientData/>
  </xdr:twoCellAnchor>
  <xdr:twoCellAnchor>
    <xdr:from>
      <xdr:col>15</xdr:col>
      <xdr:colOff>278423</xdr:colOff>
      <xdr:row>639</xdr:row>
      <xdr:rowOff>7327</xdr:rowOff>
    </xdr:from>
    <xdr:to>
      <xdr:col>16</xdr:col>
      <xdr:colOff>65942</xdr:colOff>
      <xdr:row>641</xdr:row>
      <xdr:rowOff>58615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 bwMode="auto">
        <a:xfrm flipH="1">
          <a:off x="5290038" y="108665596"/>
          <a:ext cx="227135" cy="446942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15</xdr:col>
      <xdr:colOff>398258</xdr:colOff>
      <xdr:row>636</xdr:row>
      <xdr:rowOff>110823</xdr:rowOff>
    </xdr:from>
    <xdr:ext cx="451665" cy="471668"/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5409873" y="108160958"/>
          <a:ext cx="451665" cy="471668"/>
        </a:xfrm>
        <a:prstGeom prst="rect">
          <a:avLst/>
        </a:prstGeom>
        <a:noFill/>
        <a:ln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Schnell-</a:t>
          </a:r>
          <a:br>
            <a:rPr lang="de-DE" sz="8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rechner-</a:t>
          </a:r>
          <a:br>
            <a:rPr lang="de-DE" sz="8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lösung:</a:t>
          </a:r>
          <a:br>
            <a:rPr lang="de-DE" sz="8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A</a:t>
          </a:r>
          <a:r>
            <a:rPr lang="de-DE" sz="800" baseline="0">
              <a:latin typeface="Arial" panose="020B0604020202020204" pitchFamily="34" charset="0"/>
              <a:cs typeface="Arial" panose="020B0604020202020204" pitchFamily="34" charset="0"/>
            </a:rPr>
            <a:t> / 2</a:t>
          </a:r>
          <a:endParaRPr lang="de-DE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7328</xdr:colOff>
      <xdr:row>676</xdr:row>
      <xdr:rowOff>183171</xdr:rowOff>
    </xdr:from>
    <xdr:ext cx="117232" cy="1099041"/>
    <xdr:sp macro="" textlink="">
      <xdr:nvSpPr>
        <xdr:cNvPr id="129" name="Textfeld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 rot="16200000">
          <a:off x="-351692" y="116197672"/>
          <a:ext cx="1099041" cy="117232"/>
        </a:xfrm>
        <a:prstGeom prst="rect">
          <a:avLst/>
        </a:prstGeom>
        <a:noFill/>
        <a:ln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lang="de-DE" sz="700">
              <a:latin typeface="Arial" panose="020B0604020202020204" pitchFamily="34" charset="0"/>
              <a:cs typeface="Arial" panose="020B0604020202020204" pitchFamily="34" charset="0"/>
            </a:rPr>
            <a:t>Schnellrechnerlösung</a:t>
          </a:r>
        </a:p>
      </xdr:txBody>
    </xdr:sp>
    <xdr:clientData/>
  </xdr:oneCellAnchor>
  <xdr:oneCellAnchor>
    <xdr:from>
      <xdr:col>2</xdr:col>
      <xdr:colOff>7330</xdr:colOff>
      <xdr:row>721</xdr:row>
      <xdr:rowOff>176821</xdr:rowOff>
    </xdr:from>
    <xdr:ext cx="132373" cy="3004532"/>
    <xdr:sp macro="" textlink="">
      <xdr:nvSpPr>
        <xdr:cNvPr id="131" name="Textfeld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 rot="16200000">
          <a:off x="-1289049" y="131826000"/>
          <a:ext cx="3004532" cy="132373"/>
        </a:xfrm>
        <a:prstGeom prst="rect">
          <a:avLst/>
        </a:prstGeom>
        <a:noFill/>
        <a:ln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lang="de-DE" sz="700">
              <a:latin typeface="Arial" panose="020B0604020202020204" pitchFamily="34" charset="0"/>
              <a:cs typeface="Arial" panose="020B0604020202020204" pitchFamily="34" charset="0"/>
            </a:rPr>
            <a:t>Schnellrechnerlösung</a:t>
          </a:r>
        </a:p>
      </xdr:txBody>
    </xdr:sp>
    <xdr:clientData/>
  </xdr:oneCellAnchor>
  <xdr:oneCellAnchor>
    <xdr:from>
      <xdr:col>2</xdr:col>
      <xdr:colOff>5863</xdr:colOff>
      <xdr:row>776</xdr:row>
      <xdr:rowOff>5858</xdr:rowOff>
    </xdr:from>
    <xdr:ext cx="118694" cy="2851641"/>
    <xdr:sp macro="" textlink="">
      <xdr:nvSpPr>
        <xdr:cNvPr id="132" name="Textfeld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 rot="16200000">
          <a:off x="-1228726" y="135345120"/>
          <a:ext cx="2851641" cy="118694"/>
        </a:xfrm>
        <a:prstGeom prst="rect">
          <a:avLst/>
        </a:prstGeom>
        <a:noFill/>
        <a:ln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lang="de-DE" sz="700">
              <a:latin typeface="Arial" panose="020B0604020202020204" pitchFamily="34" charset="0"/>
              <a:cs typeface="Arial" panose="020B0604020202020204" pitchFamily="34" charset="0"/>
            </a:rPr>
            <a:t>Schnellrechnerlösung</a:t>
          </a:r>
        </a:p>
      </xdr:txBody>
    </xdr:sp>
    <xdr:clientData/>
  </xdr:oneCellAnchor>
  <xdr:twoCellAnchor>
    <xdr:from>
      <xdr:col>9</xdr:col>
      <xdr:colOff>295274</xdr:colOff>
      <xdr:row>474</xdr:row>
      <xdr:rowOff>0</xdr:rowOff>
    </xdr:from>
    <xdr:to>
      <xdr:col>17</xdr:col>
      <xdr:colOff>0</xdr:colOff>
      <xdr:row>488</xdr:row>
      <xdr:rowOff>158750</xdr:rowOff>
    </xdr:to>
    <xdr:graphicFrame macro="">
      <xdr:nvGraphicFramePr>
        <xdr:cNvPr id="122" name="Diagramm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295274</xdr:colOff>
      <xdr:row>490</xdr:row>
      <xdr:rowOff>0</xdr:rowOff>
    </xdr:from>
    <xdr:to>
      <xdr:col>17</xdr:col>
      <xdr:colOff>0</xdr:colOff>
      <xdr:row>504</xdr:row>
      <xdr:rowOff>158750</xdr:rowOff>
    </xdr:to>
    <xdr:graphicFrame macro="">
      <xdr:nvGraphicFramePr>
        <xdr:cNvPr id="123" name="Diagramm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295274</xdr:colOff>
      <xdr:row>458</xdr:row>
      <xdr:rowOff>0</xdr:rowOff>
    </xdr:from>
    <xdr:to>
      <xdr:col>17</xdr:col>
      <xdr:colOff>0</xdr:colOff>
      <xdr:row>472</xdr:row>
      <xdr:rowOff>158750</xdr:rowOff>
    </xdr:to>
    <xdr:graphicFrame macro="">
      <xdr:nvGraphicFramePr>
        <xdr:cNvPr id="124" name="Diagramm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0.23759</cdr:x>
      <cdr:y>0.1702</cdr:y>
    </cdr:from>
    <cdr:to>
      <cdr:x>0.23759</cdr:x>
      <cdr:y>0.1702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181" y="32713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0.18012</cdr:x>
      <cdr:y>0.306</cdr:y>
    </cdr:from>
    <cdr:to>
      <cdr:x>0.39709</cdr:x>
      <cdr:y>0.3951</cdr:y>
    </cdr:to>
    <cdr:sp macro="" textlink="Text!$D$695">
      <cdr:nvSpPr>
        <cdr:cNvPr id="34818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2926" y="563496"/>
          <a:ext cx="629916" cy="16408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7FA5BAB8-787E-4C85-84F3-E21E47E9D37A}" type="TxLink"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Fremdkapital</a:t>
          </a:fld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0.25256</cdr:x>
      <cdr:y>0.50045</cdr:y>
    </cdr:from>
    <cdr:to>
      <cdr:x>0.25256</cdr:x>
      <cdr:y>0.50045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998" y="94101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0.27197</cdr:x>
      <cdr:y>0.60712</cdr:y>
    </cdr:from>
    <cdr:to>
      <cdr:x>0.47722</cdr:x>
      <cdr:y>0.69623</cdr:y>
    </cdr:to>
    <cdr:sp macro="" textlink="Text!$D$697">
      <cdr:nvSpPr>
        <cdr:cNvPr id="34820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89597" y="1118018"/>
          <a:ext cx="595868" cy="16408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309A88B0-865B-4EB5-820A-D89A6C9498F5}" type="TxLink"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Eigenkapital</a:t>
          </a:fld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0.1402</cdr:x>
      <cdr:y>0.15845</cdr:y>
    </cdr:from>
    <cdr:to>
      <cdr:x>0.26161</cdr:x>
      <cdr:y>0.194</cdr:y>
    </cdr:to>
    <cdr:sp macro="" textlink="">
      <cdr:nvSpPr>
        <cdr:cNvPr id="71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5923" y="579983"/>
          <a:ext cx="459017" cy="1280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100.000</a:t>
          </a:r>
        </a:p>
      </cdr:txBody>
    </cdr:sp>
  </cdr:relSizeAnchor>
  <cdr:relSizeAnchor xmlns:cdr="http://schemas.openxmlformats.org/drawingml/2006/chartDrawing">
    <cdr:from>
      <cdr:x>0.31083</cdr:x>
      <cdr:y>0.12266</cdr:y>
    </cdr:from>
    <cdr:to>
      <cdr:x>0.43248</cdr:x>
      <cdr:y>0.15845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21153" y="449233"/>
          <a:ext cx="459017" cy="130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105.000</a:t>
          </a:r>
        </a:p>
      </cdr:txBody>
    </cdr:sp>
  </cdr:relSizeAnchor>
  <cdr:relSizeAnchor xmlns:cdr="http://schemas.openxmlformats.org/drawingml/2006/chartDrawing">
    <cdr:from>
      <cdr:x>0.47977</cdr:x>
      <cdr:y>0.08494</cdr:y>
    </cdr:from>
    <cdr:to>
      <cdr:x>0.60044</cdr:x>
      <cdr:y>0.12121</cdr:y>
    </cdr:to>
    <cdr:sp macro="" textlink="">
      <cdr:nvSpPr>
        <cdr:cNvPr id="71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59867" y="314950"/>
          <a:ext cx="455292" cy="1307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110.000</a:t>
          </a:r>
        </a:p>
      </cdr:txBody>
    </cdr:sp>
  </cdr:relSizeAnchor>
  <cdr:relSizeAnchor xmlns:cdr="http://schemas.openxmlformats.org/drawingml/2006/chartDrawing">
    <cdr:from>
      <cdr:x>0.65309</cdr:x>
      <cdr:y>0.04988</cdr:y>
    </cdr:from>
    <cdr:to>
      <cdr:x>0.77497</cdr:x>
      <cdr:y>0.08494</cdr:y>
    </cdr:to>
    <cdr:sp macro="" textlink="">
      <cdr:nvSpPr>
        <cdr:cNvPr id="71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14408" y="185083"/>
          <a:ext cx="456224" cy="129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115.000</a:t>
          </a:r>
        </a:p>
      </cdr:txBody>
    </cdr:sp>
  </cdr:relSizeAnchor>
  <cdr:relSizeAnchor xmlns:cdr="http://schemas.openxmlformats.org/drawingml/2006/chartDrawing">
    <cdr:from>
      <cdr:x>0.82714</cdr:x>
      <cdr:y>0.01312</cdr:y>
    </cdr:from>
    <cdr:to>
      <cdr:x>0.94877</cdr:x>
      <cdr:y>0.04866</cdr:y>
    </cdr:to>
    <cdr:sp macro="" textlink="">
      <cdr:nvSpPr>
        <cdr:cNvPr id="71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68949" y="50800"/>
          <a:ext cx="459948" cy="1289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120.000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0.4477</cdr:x>
      <cdr:y>0.93451</cdr:y>
    </cdr:from>
    <cdr:to>
      <cdr:x>0.68826</cdr:x>
      <cdr:y>1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25488" y="2150532"/>
          <a:ext cx="1249562" cy="150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Nutzungsdauer (Jahre)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0.23896</cdr:x>
      <cdr:y>0.21887</cdr:y>
    </cdr:from>
    <cdr:to>
      <cdr:x>0.23896</cdr:x>
      <cdr:y>0.21887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957" y="41399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0.20374</cdr:x>
      <cdr:y>0.4001</cdr:y>
    </cdr:from>
    <cdr:to>
      <cdr:x>0.46819</cdr:x>
      <cdr:y>0.4892</cdr:y>
    </cdr:to>
    <cdr:sp macro="" textlink="Text!$D$644">
      <cdr:nvSpPr>
        <cdr:cNvPr id="3584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94607" y="736781"/>
          <a:ext cx="771787" cy="16408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1EAAA360-CC68-4E44-9ECF-3CBB1F1C52C7}" type="TxLink"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Fremdkapital</a:t>
          </a:fld>
          <a:endParaRPr lang="de-DE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0.22955</cdr:x>
      <cdr:y>0.61395</cdr:y>
    </cdr:from>
    <cdr:to>
      <cdr:x>0.22955</cdr:x>
      <cdr:y>0.61395</cdr:y>
    </cdr:to>
    <cdr:sp macro="" textlink="">
      <cdr:nvSpPr>
        <cdr:cNvPr id="358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0349" y="115973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0.22658</cdr:x>
      <cdr:y>0.69245</cdr:y>
    </cdr:from>
    <cdr:to>
      <cdr:x>0.43075</cdr:x>
      <cdr:y>0.78156</cdr:y>
    </cdr:to>
    <cdr:sp macro="" textlink="Text!$D$646">
      <cdr:nvSpPr>
        <cdr:cNvPr id="35844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61261" y="1275153"/>
          <a:ext cx="595869" cy="16408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9ACE5094-36DF-42AE-A63F-E57F27A0180D}" type="TxLink"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Eigenkapital</a:t>
          </a:fld>
          <a:endParaRPr lang="de-DE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0.8511</cdr:x>
      <cdr:y>0.02154</cdr:y>
    </cdr:from>
    <cdr:to>
      <cdr:x>0.98738</cdr:x>
      <cdr:y>0.14904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2884" y="69731"/>
          <a:ext cx="601147" cy="3922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Alter in % von n: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0.23759</cdr:x>
      <cdr:y>0.1702</cdr:y>
    </cdr:from>
    <cdr:to>
      <cdr:x>0.23759</cdr:x>
      <cdr:y>0.1702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181" y="32713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0.18536</cdr:x>
      <cdr:y>0.26724</cdr:y>
    </cdr:from>
    <cdr:to>
      <cdr:x>0.40234</cdr:x>
      <cdr:y>0.35634</cdr:y>
    </cdr:to>
    <cdr:sp macro="" textlink="Text!$D$695">
      <cdr:nvSpPr>
        <cdr:cNvPr id="34818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38153" y="492120"/>
          <a:ext cx="629916" cy="16408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7FA5BAB8-787E-4C85-84F3-E21E47E9D37A}" type="TxLink"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Fremdkapital</a:t>
          </a:fld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0.25256</cdr:x>
      <cdr:y>0.50045</cdr:y>
    </cdr:from>
    <cdr:to>
      <cdr:x>0.25256</cdr:x>
      <cdr:y>0.50045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998" y="94101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0.27197</cdr:x>
      <cdr:y>0.60712</cdr:y>
    </cdr:from>
    <cdr:to>
      <cdr:x>0.47722</cdr:x>
      <cdr:y>0.69623</cdr:y>
    </cdr:to>
    <cdr:sp macro="" textlink="Text!$D$697">
      <cdr:nvSpPr>
        <cdr:cNvPr id="34820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89597" y="1118018"/>
          <a:ext cx="595868" cy="16408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309A88B0-865B-4EB5-820A-D89A6C9498F5}" type="TxLink"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Eigenkapital</a:t>
          </a:fld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0.82675</cdr:x>
      <cdr:y>0.44701</cdr:y>
    </cdr:from>
    <cdr:to>
      <cdr:x>0.84976</cdr:x>
      <cdr:y>0.55962</cdr:y>
    </cdr:to>
    <cdr:sp macro="" textlink="">
      <cdr:nvSpPr>
        <cdr:cNvPr id="2" name="Geschweifte Klammer rechts 1"/>
        <cdr:cNvSpPr/>
      </cdr:nvSpPr>
      <cdr:spPr bwMode="auto">
        <a:xfrm xmlns:a="http://schemas.openxmlformats.org/drawingml/2006/main">
          <a:off x="2649776" y="1226226"/>
          <a:ext cx="73766" cy="308920"/>
        </a:xfrm>
        <a:prstGeom xmlns:a="http://schemas.openxmlformats.org/drawingml/2006/main" prst="rightBrace">
          <a:avLst>
            <a:gd name="adj1" fmla="val 23148"/>
            <a:gd name="adj2" fmla="val 5000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0.51818</cdr:x>
      <cdr:y>0.14443</cdr:y>
    </cdr:from>
    <cdr:to>
      <cdr:x>0.53614</cdr:x>
      <cdr:y>0.1973</cdr:y>
    </cdr:to>
    <cdr:sp macro="" textlink="">
      <cdr:nvSpPr>
        <cdr:cNvPr id="3" name="Geschweifte Klammer rechts 2"/>
        <cdr:cNvSpPr/>
      </cdr:nvSpPr>
      <cdr:spPr bwMode="auto">
        <a:xfrm xmlns:a="http://schemas.openxmlformats.org/drawingml/2006/main">
          <a:off x="1660797" y="396199"/>
          <a:ext cx="57554" cy="145036"/>
        </a:xfrm>
        <a:prstGeom xmlns:a="http://schemas.openxmlformats.org/drawingml/2006/main" prst="rightBrace">
          <a:avLst>
            <a:gd name="adj1" fmla="val 23148"/>
            <a:gd name="adj2" fmla="val 5000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0.54347</cdr:x>
      <cdr:y>0.14854</cdr:y>
    </cdr:from>
    <cdr:to>
      <cdr:x>0.73822</cdr:x>
      <cdr:y>0.19287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1741861" y="407480"/>
          <a:ext cx="624192" cy="1215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AfA</a:t>
          </a:r>
        </a:p>
      </cdr:txBody>
    </cdr:sp>
  </cdr:relSizeAnchor>
  <cdr:relSizeAnchor xmlns:cdr="http://schemas.openxmlformats.org/drawingml/2006/chartDrawing">
    <cdr:from>
      <cdr:x>0.86216</cdr:x>
      <cdr:y>0.48099</cdr:y>
    </cdr:from>
    <cdr:to>
      <cdr:x>0.92438</cdr:x>
      <cdr:y>0.52531</cdr:y>
    </cdr:to>
    <cdr:sp macro="" textlink="">
      <cdr:nvSpPr>
        <cdr:cNvPr id="5" name="Textfeld 4"/>
        <cdr:cNvSpPr txBox="1"/>
      </cdr:nvSpPr>
      <cdr:spPr>
        <a:xfrm xmlns:a="http://schemas.openxmlformats.org/drawingml/2006/main">
          <a:off x="2763266" y="1319448"/>
          <a:ext cx="199415" cy="1215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AfA</a:t>
          </a:r>
        </a:p>
      </cdr:txBody>
    </cdr:sp>
  </cdr:relSizeAnchor>
  <cdr:relSizeAnchor xmlns:cdr="http://schemas.openxmlformats.org/drawingml/2006/chartDrawing">
    <cdr:from>
      <cdr:x>0.85204</cdr:x>
      <cdr:y>0.29039</cdr:y>
    </cdr:from>
    <cdr:to>
      <cdr:x>0.98103</cdr:x>
      <cdr:y>0.33471</cdr:y>
    </cdr:to>
    <cdr:sp macro="" textlink="">
      <cdr:nvSpPr>
        <cdr:cNvPr id="6" name="Textfeld 5"/>
        <cdr:cNvSpPr txBox="1"/>
      </cdr:nvSpPr>
      <cdr:spPr>
        <a:xfrm xmlns:a="http://schemas.openxmlformats.org/drawingml/2006/main">
          <a:off x="2730839" y="796588"/>
          <a:ext cx="413426" cy="1215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Ø-Wert</a:t>
          </a:r>
        </a:p>
      </cdr:txBody>
    </cdr:sp>
  </cdr:relSizeAnchor>
  <cdr:relSizeAnchor xmlns:cdr="http://schemas.openxmlformats.org/drawingml/2006/chartDrawing">
    <cdr:from>
      <cdr:x>0.22858</cdr:x>
      <cdr:y>0.57851</cdr:y>
    </cdr:from>
    <cdr:to>
      <cdr:x>0.59911</cdr:x>
      <cdr:y>0.68225</cdr:y>
    </cdr:to>
    <cdr:sp macro="" textlink="">
      <cdr:nvSpPr>
        <cdr:cNvPr id="10" name="Textfeld 9"/>
        <cdr:cNvSpPr txBox="1"/>
      </cdr:nvSpPr>
      <cdr:spPr>
        <a:xfrm xmlns:a="http://schemas.openxmlformats.org/drawingml/2006/main">
          <a:off x="768560" y="1531866"/>
          <a:ext cx="1245843" cy="2747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Verlauf</a:t>
          </a:r>
          <a:r>
            <a:rPr lang="de-DE" sz="800" baseline="0">
              <a:latin typeface="Arial" panose="020B0604020202020204" pitchFamily="34" charset="0"/>
              <a:cs typeface="Arial" panose="020B0604020202020204" pitchFamily="34" charset="0"/>
            </a:rPr>
            <a:t> des Anlagew</a:t>
          </a:r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erts</a:t>
          </a:r>
          <a:br>
            <a:rPr lang="de-DE" sz="8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(Buchwert)</a:t>
          </a:r>
        </a:p>
      </cdr:txBody>
    </cdr:sp>
  </cdr:relSizeAnchor>
  <cdr:relSizeAnchor xmlns:cdr="http://schemas.openxmlformats.org/drawingml/2006/chartDrawing">
    <cdr:from>
      <cdr:x>0.56244</cdr:x>
      <cdr:y>0.37936</cdr:y>
    </cdr:from>
    <cdr:to>
      <cdr:x>0.66639</cdr:x>
      <cdr:y>0.58442</cdr:y>
    </cdr:to>
    <cdr:cxnSp macro="">
      <cdr:nvCxnSpPr>
        <cdr:cNvPr id="11" name="Gerade Verbindung mit Pfeil 10">
          <a:extLst xmlns:a="http://schemas.openxmlformats.org/drawingml/2006/main">
            <a:ext uri="{FF2B5EF4-FFF2-40B4-BE49-F238E27FC236}">
              <a16:creationId xmlns:a16="http://schemas.microsoft.com/office/drawing/2014/main" id="{6662AB25-5818-44BA-91BB-A7A41BD53BB7}"/>
            </a:ext>
          </a:extLst>
        </cdr:cNvPr>
        <cdr:cNvCxnSpPr/>
      </cdr:nvCxnSpPr>
      <cdr:spPr bwMode="auto">
        <a:xfrm xmlns:a="http://schemas.openxmlformats.org/drawingml/2006/main" flipV="1">
          <a:off x="1802658" y="1040657"/>
          <a:ext cx="333172" cy="562515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0.4357</cdr:x>
      <cdr:y>0.36838</cdr:y>
    </cdr:from>
    <cdr:to>
      <cdr:x>0.45872</cdr:x>
      <cdr:y>0.48099</cdr:y>
    </cdr:to>
    <cdr:sp macro="" textlink="">
      <cdr:nvSpPr>
        <cdr:cNvPr id="2" name="Geschweifte Klammer rechts 1"/>
        <cdr:cNvSpPr/>
      </cdr:nvSpPr>
      <cdr:spPr bwMode="auto">
        <a:xfrm xmlns:a="http://schemas.openxmlformats.org/drawingml/2006/main">
          <a:off x="1396461" y="1010529"/>
          <a:ext cx="73766" cy="308920"/>
        </a:xfrm>
        <a:prstGeom xmlns:a="http://schemas.openxmlformats.org/drawingml/2006/main" prst="rightBrace">
          <a:avLst>
            <a:gd name="adj1" fmla="val 23148"/>
            <a:gd name="adj2" fmla="val 5000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0.68104</cdr:x>
      <cdr:y>0.66273</cdr:y>
    </cdr:from>
    <cdr:to>
      <cdr:x>0.699</cdr:x>
      <cdr:y>0.7156</cdr:y>
    </cdr:to>
    <cdr:sp macro="" textlink="">
      <cdr:nvSpPr>
        <cdr:cNvPr id="3" name="Geschweifte Klammer rechts 2"/>
        <cdr:cNvSpPr/>
      </cdr:nvSpPr>
      <cdr:spPr bwMode="auto">
        <a:xfrm xmlns:a="http://schemas.openxmlformats.org/drawingml/2006/main">
          <a:off x="2182780" y="1817991"/>
          <a:ext cx="57554" cy="145036"/>
        </a:xfrm>
        <a:prstGeom xmlns:a="http://schemas.openxmlformats.org/drawingml/2006/main" prst="rightBrace">
          <a:avLst>
            <a:gd name="adj1" fmla="val 23148"/>
            <a:gd name="adj2" fmla="val 5000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0.70633</cdr:x>
      <cdr:y>0.66684</cdr:y>
    </cdr:from>
    <cdr:to>
      <cdr:x>0.90109</cdr:x>
      <cdr:y>0.71117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263844" y="1829272"/>
          <a:ext cx="624192" cy="1215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AfA</a:t>
          </a:r>
        </a:p>
      </cdr:txBody>
    </cdr:sp>
  </cdr:relSizeAnchor>
  <cdr:relSizeAnchor xmlns:cdr="http://schemas.openxmlformats.org/drawingml/2006/chartDrawing">
    <cdr:from>
      <cdr:x>0.47111</cdr:x>
      <cdr:y>0.40236</cdr:y>
    </cdr:from>
    <cdr:to>
      <cdr:x>0.53333</cdr:x>
      <cdr:y>0.44669</cdr:y>
    </cdr:to>
    <cdr:sp macro="" textlink="">
      <cdr:nvSpPr>
        <cdr:cNvPr id="5" name="Textfeld 4"/>
        <cdr:cNvSpPr txBox="1"/>
      </cdr:nvSpPr>
      <cdr:spPr>
        <a:xfrm xmlns:a="http://schemas.openxmlformats.org/drawingml/2006/main">
          <a:off x="1509951" y="1103751"/>
          <a:ext cx="199415" cy="1215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AfA</a:t>
          </a:r>
        </a:p>
      </cdr:txBody>
    </cdr:sp>
  </cdr:relSizeAnchor>
  <cdr:relSizeAnchor xmlns:cdr="http://schemas.openxmlformats.org/drawingml/2006/chartDrawing">
    <cdr:from>
      <cdr:x>0.84544</cdr:x>
      <cdr:y>0.53091</cdr:y>
    </cdr:from>
    <cdr:to>
      <cdr:x>0.97443</cdr:x>
      <cdr:y>0.57523</cdr:y>
    </cdr:to>
    <cdr:sp macro="" textlink="">
      <cdr:nvSpPr>
        <cdr:cNvPr id="6" name="Textfeld 5"/>
        <cdr:cNvSpPr txBox="1"/>
      </cdr:nvSpPr>
      <cdr:spPr>
        <a:xfrm xmlns:a="http://schemas.openxmlformats.org/drawingml/2006/main">
          <a:off x="2709694" y="1456380"/>
          <a:ext cx="413426" cy="1215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Ø-Wert</a:t>
          </a:r>
        </a:p>
      </cdr:txBody>
    </cdr:sp>
  </cdr:relSizeAnchor>
  <cdr:relSizeAnchor xmlns:cdr="http://schemas.openxmlformats.org/drawingml/2006/chartDrawing">
    <cdr:from>
      <cdr:x>0.21819</cdr:x>
      <cdr:y>0.72782</cdr:y>
    </cdr:from>
    <cdr:to>
      <cdr:x>0.58872</cdr:x>
      <cdr:y>0.82641</cdr:y>
    </cdr:to>
    <cdr:sp macro="" textlink="">
      <cdr:nvSpPr>
        <cdr:cNvPr id="9" name="Textfeld 8"/>
        <cdr:cNvSpPr txBox="1"/>
      </cdr:nvSpPr>
      <cdr:spPr>
        <a:xfrm xmlns:a="http://schemas.openxmlformats.org/drawingml/2006/main">
          <a:off x="733626" y="1927225"/>
          <a:ext cx="1245843" cy="261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Verlauf</a:t>
          </a:r>
          <a:r>
            <a:rPr lang="de-DE" sz="800" baseline="0">
              <a:latin typeface="Arial" panose="020B0604020202020204" pitchFamily="34" charset="0"/>
              <a:cs typeface="Arial" panose="020B0604020202020204" pitchFamily="34" charset="0"/>
            </a:rPr>
            <a:t> des Anlagew</a:t>
          </a:r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erts</a:t>
          </a:r>
          <a:br>
            <a:rPr lang="de-DE" sz="8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(Buchwert)</a:t>
          </a:r>
        </a:p>
      </cdr:txBody>
    </cdr:sp>
  </cdr:relSizeAnchor>
  <cdr:relSizeAnchor xmlns:cdr="http://schemas.openxmlformats.org/drawingml/2006/chartDrawing">
    <cdr:from>
      <cdr:x>0.4542</cdr:x>
      <cdr:y>0.63909</cdr:y>
    </cdr:from>
    <cdr:to>
      <cdr:x>0.53333</cdr:x>
      <cdr:y>0.72782</cdr:y>
    </cdr:to>
    <cdr:cxnSp macro="">
      <cdr:nvCxnSpPr>
        <cdr:cNvPr id="10" name="Gerade Verbindung mit Pfeil 9">
          <a:extLst xmlns:a="http://schemas.openxmlformats.org/drawingml/2006/main">
            <a:ext uri="{FF2B5EF4-FFF2-40B4-BE49-F238E27FC236}">
              <a16:creationId xmlns:a16="http://schemas.microsoft.com/office/drawing/2014/main" id="{7FE10ADA-506D-4B79-A5A9-A671D3E405E0}"/>
            </a:ext>
          </a:extLst>
        </cdr:cNvPr>
        <cdr:cNvCxnSpPr/>
      </cdr:nvCxnSpPr>
      <cdr:spPr bwMode="auto">
        <a:xfrm xmlns:a="http://schemas.openxmlformats.org/drawingml/2006/main" flipV="1">
          <a:off x="1527175" y="1692279"/>
          <a:ext cx="266054" cy="234946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0.76139</cdr:x>
      <cdr:y>0.53799</cdr:y>
    </cdr:from>
    <cdr:to>
      <cdr:x>0.78399</cdr:x>
      <cdr:y>0.61557</cdr:y>
    </cdr:to>
    <cdr:sp macro="" textlink="">
      <cdr:nvSpPr>
        <cdr:cNvPr id="2" name="Geschweifte Klammer rechts 1"/>
        <cdr:cNvSpPr/>
      </cdr:nvSpPr>
      <cdr:spPr bwMode="auto">
        <a:xfrm xmlns:a="http://schemas.openxmlformats.org/drawingml/2006/main">
          <a:off x="2555758" y="1418871"/>
          <a:ext cx="75846" cy="204612"/>
        </a:xfrm>
        <a:prstGeom xmlns:a="http://schemas.openxmlformats.org/drawingml/2006/main" prst="rightBrace">
          <a:avLst>
            <a:gd name="adj1" fmla="val 23148"/>
            <a:gd name="adj2" fmla="val 5000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0.30827</cdr:x>
      <cdr:y>0.03326</cdr:y>
    </cdr:from>
    <cdr:to>
      <cdr:x>0.33067</cdr:x>
      <cdr:y>0.11244</cdr:y>
    </cdr:to>
    <cdr:sp macro="" textlink="">
      <cdr:nvSpPr>
        <cdr:cNvPr id="3" name="Geschweifte Klammer rechts 2"/>
        <cdr:cNvSpPr/>
      </cdr:nvSpPr>
      <cdr:spPr bwMode="auto">
        <a:xfrm xmlns:a="http://schemas.openxmlformats.org/drawingml/2006/main">
          <a:off x="1034768" y="87724"/>
          <a:ext cx="75187" cy="208821"/>
        </a:xfrm>
        <a:prstGeom xmlns:a="http://schemas.openxmlformats.org/drawingml/2006/main" prst="rightBrace">
          <a:avLst>
            <a:gd name="adj1" fmla="val 23148"/>
            <a:gd name="adj2" fmla="val 5000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0.34115</cdr:x>
      <cdr:y>0.04743</cdr:y>
    </cdr:from>
    <cdr:to>
      <cdr:x>0.53585</cdr:x>
      <cdr:y>0.09176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1147062" y="125592"/>
          <a:ext cx="654645" cy="117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AfA</a:t>
          </a:r>
        </a:p>
      </cdr:txBody>
    </cdr:sp>
  </cdr:relSizeAnchor>
  <cdr:relSizeAnchor xmlns:cdr="http://schemas.openxmlformats.org/drawingml/2006/chartDrawing">
    <cdr:from>
      <cdr:x>0.79679</cdr:x>
      <cdr:y>0.55081</cdr:y>
    </cdr:from>
    <cdr:to>
      <cdr:x>0.87843</cdr:x>
      <cdr:y>0.59514</cdr:y>
    </cdr:to>
    <cdr:sp macro="" textlink="">
      <cdr:nvSpPr>
        <cdr:cNvPr id="5" name="Textfeld 4"/>
        <cdr:cNvSpPr txBox="1"/>
      </cdr:nvSpPr>
      <cdr:spPr>
        <a:xfrm xmlns:a="http://schemas.openxmlformats.org/drawingml/2006/main">
          <a:off x="2679082" y="1458506"/>
          <a:ext cx="274500" cy="117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AfA</a:t>
          </a:r>
        </a:p>
      </cdr:txBody>
    </cdr:sp>
  </cdr:relSizeAnchor>
  <cdr:relSizeAnchor xmlns:cdr="http://schemas.openxmlformats.org/drawingml/2006/chartDrawing">
    <cdr:from>
      <cdr:x>0.85106</cdr:x>
      <cdr:y>0.40647</cdr:y>
    </cdr:from>
    <cdr:to>
      <cdr:x>0.98002</cdr:x>
      <cdr:y>0.4508</cdr:y>
    </cdr:to>
    <cdr:sp macro="" textlink="">
      <cdr:nvSpPr>
        <cdr:cNvPr id="6" name="Textfeld 5"/>
        <cdr:cNvSpPr txBox="1"/>
      </cdr:nvSpPr>
      <cdr:spPr>
        <a:xfrm xmlns:a="http://schemas.openxmlformats.org/drawingml/2006/main">
          <a:off x="2728406" y="1115034"/>
          <a:ext cx="413426" cy="1215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Ø-Wert</a:t>
          </a:r>
        </a:p>
      </cdr:txBody>
    </cdr:sp>
  </cdr:relSizeAnchor>
  <cdr:relSizeAnchor xmlns:cdr="http://schemas.openxmlformats.org/drawingml/2006/chartDrawing">
    <cdr:from>
      <cdr:x>0.29477</cdr:x>
      <cdr:y>0.64879</cdr:y>
    </cdr:from>
    <cdr:to>
      <cdr:x>0.66521</cdr:x>
      <cdr:y>0.7482</cdr:y>
    </cdr:to>
    <cdr:sp macro="" textlink="">
      <cdr:nvSpPr>
        <cdr:cNvPr id="7" name="Textfeld 6"/>
        <cdr:cNvSpPr txBox="1"/>
      </cdr:nvSpPr>
      <cdr:spPr>
        <a:xfrm xmlns:a="http://schemas.openxmlformats.org/drawingml/2006/main">
          <a:off x="991113" y="1717962"/>
          <a:ext cx="1245540" cy="2632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pPr algn="ctr"/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Verlauf</a:t>
          </a:r>
          <a:r>
            <a:rPr lang="de-DE" sz="800" baseline="0">
              <a:latin typeface="Arial" panose="020B0604020202020204" pitchFamily="34" charset="0"/>
              <a:cs typeface="Arial" panose="020B0604020202020204" pitchFamily="34" charset="0"/>
            </a:rPr>
            <a:t> des Anlagew</a:t>
          </a:r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erts</a:t>
          </a:r>
          <a:br>
            <a:rPr lang="de-DE" sz="8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(Buchwert)</a:t>
          </a:r>
        </a:p>
      </cdr:txBody>
    </cdr:sp>
  </cdr:relSizeAnchor>
  <cdr:relSizeAnchor xmlns:cdr="http://schemas.openxmlformats.org/drawingml/2006/chartDrawing">
    <cdr:from>
      <cdr:x>0.62855</cdr:x>
      <cdr:y>0.59264</cdr:y>
    </cdr:from>
    <cdr:to>
      <cdr:x>0.68544</cdr:x>
      <cdr:y>0.6547</cdr:y>
    </cdr:to>
    <cdr:cxnSp macro="">
      <cdr:nvCxnSpPr>
        <cdr:cNvPr id="9" name="Gerade Verbindung mit Pfeil 8">
          <a:extLst xmlns:a="http://schemas.openxmlformats.org/drawingml/2006/main">
            <a:ext uri="{FF2B5EF4-FFF2-40B4-BE49-F238E27FC236}">
              <a16:creationId xmlns:a16="http://schemas.microsoft.com/office/drawing/2014/main" id="{FE99D366-6871-46B4-B380-9973EA66AD4E}"/>
            </a:ext>
          </a:extLst>
        </cdr:cNvPr>
        <cdr:cNvCxnSpPr/>
      </cdr:nvCxnSpPr>
      <cdr:spPr bwMode="auto">
        <a:xfrm xmlns:a="http://schemas.openxmlformats.org/drawingml/2006/main" flipV="1">
          <a:off x="2015044" y="1625735"/>
          <a:ext cx="182394" cy="170234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0</xdr:rowOff>
    </xdr:from>
    <xdr:to>
      <xdr:col>9</xdr:col>
      <xdr:colOff>495300</xdr:colOff>
      <xdr:row>55</xdr:row>
      <xdr:rowOff>0</xdr:rowOff>
    </xdr:to>
    <xdr:graphicFrame macro="">
      <xdr:nvGraphicFramePr>
        <xdr:cNvPr id="46336" name="Diagramm 1033">
          <a:extLst>
            <a:ext uri="{FF2B5EF4-FFF2-40B4-BE49-F238E27FC236}">
              <a16:creationId xmlns:a16="http://schemas.microsoft.com/office/drawing/2014/main" id="{00000000-0008-0000-0200-000000B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40</xdr:row>
      <xdr:rowOff>0</xdr:rowOff>
    </xdr:from>
    <xdr:to>
      <xdr:col>20</xdr:col>
      <xdr:colOff>22860</xdr:colOff>
      <xdr:row>55</xdr:row>
      <xdr:rowOff>0</xdr:rowOff>
    </xdr:to>
    <xdr:graphicFrame macro="">
      <xdr:nvGraphicFramePr>
        <xdr:cNvPr id="46337" name="Diagramm 1036">
          <a:extLst>
            <a:ext uri="{FF2B5EF4-FFF2-40B4-BE49-F238E27FC236}">
              <a16:creationId xmlns:a16="http://schemas.microsoft.com/office/drawing/2014/main" id="{00000000-0008-0000-0200-000001B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57</xdr:row>
      <xdr:rowOff>0</xdr:rowOff>
    </xdr:from>
    <xdr:to>
      <xdr:col>20</xdr:col>
      <xdr:colOff>0</xdr:colOff>
      <xdr:row>72</xdr:row>
      <xdr:rowOff>0</xdr:rowOff>
    </xdr:to>
    <xdr:graphicFrame macro="">
      <xdr:nvGraphicFramePr>
        <xdr:cNvPr id="46338" name="Diagramm 1037">
          <a:extLst>
            <a:ext uri="{FF2B5EF4-FFF2-40B4-BE49-F238E27FC236}">
              <a16:creationId xmlns:a16="http://schemas.microsoft.com/office/drawing/2014/main" id="{00000000-0008-0000-0200-000002B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57</xdr:row>
      <xdr:rowOff>0</xdr:rowOff>
    </xdr:from>
    <xdr:to>
      <xdr:col>9</xdr:col>
      <xdr:colOff>480060</xdr:colOff>
      <xdr:row>72</xdr:row>
      <xdr:rowOff>0</xdr:rowOff>
    </xdr:to>
    <xdr:graphicFrame macro="">
      <xdr:nvGraphicFramePr>
        <xdr:cNvPr id="46339" name="Diagramm 1038">
          <a:extLst>
            <a:ext uri="{FF2B5EF4-FFF2-40B4-BE49-F238E27FC236}">
              <a16:creationId xmlns:a16="http://schemas.microsoft.com/office/drawing/2014/main" id="{00000000-0008-0000-0200-000003B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0</xdr:rowOff>
    </xdr:from>
    <xdr:to>
      <xdr:col>9</xdr:col>
      <xdr:colOff>495300</xdr:colOff>
      <xdr:row>55</xdr:row>
      <xdr:rowOff>0</xdr:rowOff>
    </xdr:to>
    <xdr:graphicFrame macro="">
      <xdr:nvGraphicFramePr>
        <xdr:cNvPr id="50429" name="Diagramm 9">
          <a:extLst>
            <a:ext uri="{FF2B5EF4-FFF2-40B4-BE49-F238E27FC236}">
              <a16:creationId xmlns:a16="http://schemas.microsoft.com/office/drawing/2014/main" id="{00000000-0008-0000-0300-0000FDC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40</xdr:row>
      <xdr:rowOff>0</xdr:rowOff>
    </xdr:from>
    <xdr:to>
      <xdr:col>20</xdr:col>
      <xdr:colOff>22860</xdr:colOff>
      <xdr:row>55</xdr:row>
      <xdr:rowOff>0</xdr:rowOff>
    </xdr:to>
    <xdr:graphicFrame macro="">
      <xdr:nvGraphicFramePr>
        <xdr:cNvPr id="50430" name="Diagramm 10">
          <a:extLst>
            <a:ext uri="{FF2B5EF4-FFF2-40B4-BE49-F238E27FC236}">
              <a16:creationId xmlns:a16="http://schemas.microsoft.com/office/drawing/2014/main" id="{00000000-0008-0000-0300-0000FEC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57</xdr:row>
      <xdr:rowOff>0</xdr:rowOff>
    </xdr:from>
    <xdr:to>
      <xdr:col>20</xdr:col>
      <xdr:colOff>0</xdr:colOff>
      <xdr:row>72</xdr:row>
      <xdr:rowOff>0</xdr:rowOff>
    </xdr:to>
    <xdr:graphicFrame macro="">
      <xdr:nvGraphicFramePr>
        <xdr:cNvPr id="50431" name="Diagramm 11">
          <a:extLst>
            <a:ext uri="{FF2B5EF4-FFF2-40B4-BE49-F238E27FC236}">
              <a16:creationId xmlns:a16="http://schemas.microsoft.com/office/drawing/2014/main" id="{00000000-0008-0000-0300-0000FFC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57</xdr:row>
      <xdr:rowOff>0</xdr:rowOff>
    </xdr:from>
    <xdr:to>
      <xdr:col>9</xdr:col>
      <xdr:colOff>480060</xdr:colOff>
      <xdr:row>72</xdr:row>
      <xdr:rowOff>0</xdr:rowOff>
    </xdr:to>
    <xdr:graphicFrame macro="">
      <xdr:nvGraphicFramePr>
        <xdr:cNvPr id="50432" name="Diagramm 12">
          <a:extLst>
            <a:ext uri="{FF2B5EF4-FFF2-40B4-BE49-F238E27FC236}">
              <a16:creationId xmlns:a16="http://schemas.microsoft.com/office/drawing/2014/main" id="{00000000-0008-0000-0300-000000C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0</xdr:rowOff>
    </xdr:from>
    <xdr:to>
      <xdr:col>9</xdr:col>
      <xdr:colOff>495300</xdr:colOff>
      <xdr:row>55</xdr:row>
      <xdr:rowOff>0</xdr:rowOff>
    </xdr:to>
    <xdr:graphicFrame macro="">
      <xdr:nvGraphicFramePr>
        <xdr:cNvPr id="48381" name="Diagramm 2057">
          <a:extLst>
            <a:ext uri="{FF2B5EF4-FFF2-40B4-BE49-F238E27FC236}">
              <a16:creationId xmlns:a16="http://schemas.microsoft.com/office/drawing/2014/main" id="{00000000-0008-0000-0400-0000FDB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40</xdr:row>
      <xdr:rowOff>0</xdr:rowOff>
    </xdr:from>
    <xdr:to>
      <xdr:col>20</xdr:col>
      <xdr:colOff>22860</xdr:colOff>
      <xdr:row>55</xdr:row>
      <xdr:rowOff>0</xdr:rowOff>
    </xdr:to>
    <xdr:graphicFrame macro="">
      <xdr:nvGraphicFramePr>
        <xdr:cNvPr id="48382" name="Diagramm 2058">
          <a:extLst>
            <a:ext uri="{FF2B5EF4-FFF2-40B4-BE49-F238E27FC236}">
              <a16:creationId xmlns:a16="http://schemas.microsoft.com/office/drawing/2014/main" id="{00000000-0008-0000-0400-0000FEB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57</xdr:row>
      <xdr:rowOff>0</xdr:rowOff>
    </xdr:from>
    <xdr:to>
      <xdr:col>20</xdr:col>
      <xdr:colOff>0</xdr:colOff>
      <xdr:row>72</xdr:row>
      <xdr:rowOff>0</xdr:rowOff>
    </xdr:to>
    <xdr:graphicFrame macro="">
      <xdr:nvGraphicFramePr>
        <xdr:cNvPr id="48383" name="Diagramm 2059">
          <a:extLst>
            <a:ext uri="{FF2B5EF4-FFF2-40B4-BE49-F238E27FC236}">
              <a16:creationId xmlns:a16="http://schemas.microsoft.com/office/drawing/2014/main" id="{00000000-0008-0000-0400-0000FFB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57</xdr:row>
      <xdr:rowOff>0</xdr:rowOff>
    </xdr:from>
    <xdr:to>
      <xdr:col>9</xdr:col>
      <xdr:colOff>480060</xdr:colOff>
      <xdr:row>72</xdr:row>
      <xdr:rowOff>0</xdr:rowOff>
    </xdr:to>
    <xdr:graphicFrame macro="">
      <xdr:nvGraphicFramePr>
        <xdr:cNvPr id="48384" name="Diagramm 2060">
          <a:extLst>
            <a:ext uri="{FF2B5EF4-FFF2-40B4-BE49-F238E27FC236}">
              <a16:creationId xmlns:a16="http://schemas.microsoft.com/office/drawing/2014/main" id="{00000000-0008-0000-0400-000000B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16</xdr:row>
      <xdr:rowOff>0</xdr:rowOff>
    </xdr:from>
    <xdr:to>
      <xdr:col>20</xdr:col>
      <xdr:colOff>0</xdr:colOff>
      <xdr:row>37</xdr:row>
      <xdr:rowOff>0</xdr:rowOff>
    </xdr:to>
    <xdr:graphicFrame macro="">
      <xdr:nvGraphicFramePr>
        <xdr:cNvPr id="18555" name="Diagramm 1">
          <a:extLst>
            <a:ext uri="{FF2B5EF4-FFF2-40B4-BE49-F238E27FC236}">
              <a16:creationId xmlns:a16="http://schemas.microsoft.com/office/drawing/2014/main" id="{00000000-0008-0000-0D00-00007B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7620</xdr:colOff>
      <xdr:row>38</xdr:row>
      <xdr:rowOff>0</xdr:rowOff>
    </xdr:from>
    <xdr:to>
      <xdr:col>20</xdr:col>
      <xdr:colOff>22860</xdr:colOff>
      <xdr:row>60</xdr:row>
      <xdr:rowOff>0</xdr:rowOff>
    </xdr:to>
    <xdr:graphicFrame macro="">
      <xdr:nvGraphicFramePr>
        <xdr:cNvPr id="18556" name="Diagramm 2">
          <a:extLst>
            <a:ext uri="{FF2B5EF4-FFF2-40B4-BE49-F238E27FC236}">
              <a16:creationId xmlns:a16="http://schemas.microsoft.com/office/drawing/2014/main" id="{00000000-0008-0000-0D00-00007C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0</xdr:rowOff>
    </xdr:from>
    <xdr:to>
      <xdr:col>20</xdr:col>
      <xdr:colOff>0</xdr:colOff>
      <xdr:row>33</xdr:row>
      <xdr:rowOff>0</xdr:rowOff>
    </xdr:to>
    <xdr:graphicFrame macro="">
      <xdr:nvGraphicFramePr>
        <xdr:cNvPr id="23675" name="Diagramm 1">
          <a:extLst>
            <a:ext uri="{FF2B5EF4-FFF2-40B4-BE49-F238E27FC236}">
              <a16:creationId xmlns:a16="http://schemas.microsoft.com/office/drawing/2014/main" id="{00000000-0008-0000-0E00-00007B5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35</xdr:row>
      <xdr:rowOff>0</xdr:rowOff>
    </xdr:from>
    <xdr:to>
      <xdr:col>20</xdr:col>
      <xdr:colOff>0</xdr:colOff>
      <xdr:row>60</xdr:row>
      <xdr:rowOff>0</xdr:rowOff>
    </xdr:to>
    <xdr:graphicFrame macro="">
      <xdr:nvGraphicFramePr>
        <xdr:cNvPr id="23676" name="Diagramm 2">
          <a:extLst>
            <a:ext uri="{FF2B5EF4-FFF2-40B4-BE49-F238E27FC236}">
              <a16:creationId xmlns:a16="http://schemas.microsoft.com/office/drawing/2014/main" id="{00000000-0008-0000-0E00-00007C5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0.20975</cdr:x>
      <cdr:y>0.68829</cdr:y>
    </cdr:from>
    <cdr:to>
      <cdr:x>0.34523</cdr:x>
      <cdr:y>0.76874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1257" y="2129136"/>
          <a:ext cx="550438" cy="2490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Buchwert</a:t>
          </a:r>
        </a:p>
      </cdr:txBody>
    </cdr:sp>
  </cdr:relSizeAnchor>
  <cdr:relSizeAnchor xmlns:cdr="http://schemas.openxmlformats.org/drawingml/2006/chartDrawing">
    <cdr:from>
      <cdr:x>0.22708</cdr:x>
      <cdr:y>0.28311</cdr:y>
    </cdr:from>
    <cdr:to>
      <cdr:x>0.44606</cdr:x>
      <cdr:y>0.36356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2409" y="878523"/>
          <a:ext cx="888409" cy="2490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Jährliche AfA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3</xdr:row>
      <xdr:rowOff>142875</xdr:rowOff>
    </xdr:from>
    <xdr:to>
      <xdr:col>15</xdr:col>
      <xdr:colOff>247651</xdr:colOff>
      <xdr:row>18</xdr:row>
      <xdr:rowOff>28575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9525</xdr:colOff>
      <xdr:row>3</xdr:row>
      <xdr:rowOff>142875</xdr:rowOff>
    </xdr:from>
    <xdr:to>
      <xdr:col>22</xdr:col>
      <xdr:colOff>247651</xdr:colOff>
      <xdr:row>18</xdr:row>
      <xdr:rowOff>28575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9525</xdr:colOff>
      <xdr:row>3</xdr:row>
      <xdr:rowOff>133350</xdr:rowOff>
    </xdr:from>
    <xdr:to>
      <xdr:col>8</xdr:col>
      <xdr:colOff>247651</xdr:colOff>
      <xdr:row>18</xdr:row>
      <xdr:rowOff>19050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282543</xdr:colOff>
      <xdr:row>3</xdr:row>
      <xdr:rowOff>38099</xdr:rowOff>
    </xdr:from>
    <xdr:to>
      <xdr:col>26</xdr:col>
      <xdr:colOff>733612</xdr:colOff>
      <xdr:row>15</xdr:row>
      <xdr:rowOff>66674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Aspect="1"/>
        </xdr:cNvSpPr>
      </xdr:nvSpPr>
      <xdr:spPr>
        <a:xfrm>
          <a:off x="11598243" y="609599"/>
          <a:ext cx="2470369" cy="2314575"/>
        </a:xfrm>
        <a:prstGeom prst="rect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22</xdr:col>
      <xdr:colOff>466725</xdr:colOff>
      <xdr:row>1</xdr:row>
      <xdr:rowOff>142875</xdr:rowOff>
    </xdr:from>
    <xdr:to>
      <xdr:col>37</xdr:col>
      <xdr:colOff>323850</xdr:colOff>
      <xdr:row>1</xdr:row>
      <xdr:rowOff>142875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 bwMode="auto">
        <a:xfrm>
          <a:off x="11287125" y="333375"/>
          <a:ext cx="1075372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0.82675</cdr:x>
      <cdr:y>0.44701</cdr:y>
    </cdr:from>
    <cdr:to>
      <cdr:x>0.84976</cdr:x>
      <cdr:y>0.55962</cdr:y>
    </cdr:to>
    <cdr:sp macro="" textlink="">
      <cdr:nvSpPr>
        <cdr:cNvPr id="2" name="Geschweifte Klammer rechts 1"/>
        <cdr:cNvSpPr/>
      </cdr:nvSpPr>
      <cdr:spPr bwMode="auto">
        <a:xfrm xmlns:a="http://schemas.openxmlformats.org/drawingml/2006/main">
          <a:off x="2649776" y="1226226"/>
          <a:ext cx="73766" cy="308920"/>
        </a:xfrm>
        <a:prstGeom xmlns:a="http://schemas.openxmlformats.org/drawingml/2006/main" prst="rightBrace">
          <a:avLst>
            <a:gd name="adj1" fmla="val 23148"/>
            <a:gd name="adj2" fmla="val 5000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0.51818</cdr:x>
      <cdr:y>0.14443</cdr:y>
    </cdr:from>
    <cdr:to>
      <cdr:x>0.53614</cdr:x>
      <cdr:y>0.1973</cdr:y>
    </cdr:to>
    <cdr:sp macro="" textlink="">
      <cdr:nvSpPr>
        <cdr:cNvPr id="3" name="Geschweifte Klammer rechts 2"/>
        <cdr:cNvSpPr/>
      </cdr:nvSpPr>
      <cdr:spPr bwMode="auto">
        <a:xfrm xmlns:a="http://schemas.openxmlformats.org/drawingml/2006/main">
          <a:off x="1660797" y="396199"/>
          <a:ext cx="57554" cy="145036"/>
        </a:xfrm>
        <a:prstGeom xmlns:a="http://schemas.openxmlformats.org/drawingml/2006/main" prst="rightBrace">
          <a:avLst>
            <a:gd name="adj1" fmla="val 23148"/>
            <a:gd name="adj2" fmla="val 5000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0.54347</cdr:x>
      <cdr:y>0.14854</cdr:y>
    </cdr:from>
    <cdr:to>
      <cdr:x>0.73822</cdr:x>
      <cdr:y>0.19287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1741861" y="407480"/>
          <a:ext cx="624192" cy="1215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AfA</a:t>
          </a:r>
        </a:p>
      </cdr:txBody>
    </cdr:sp>
  </cdr:relSizeAnchor>
  <cdr:relSizeAnchor xmlns:cdr="http://schemas.openxmlformats.org/drawingml/2006/chartDrawing">
    <cdr:from>
      <cdr:x>0.86216</cdr:x>
      <cdr:y>0.48099</cdr:y>
    </cdr:from>
    <cdr:to>
      <cdr:x>0.92438</cdr:x>
      <cdr:y>0.52531</cdr:y>
    </cdr:to>
    <cdr:sp macro="" textlink="">
      <cdr:nvSpPr>
        <cdr:cNvPr id="5" name="Textfeld 4"/>
        <cdr:cNvSpPr txBox="1"/>
      </cdr:nvSpPr>
      <cdr:spPr>
        <a:xfrm xmlns:a="http://schemas.openxmlformats.org/drawingml/2006/main">
          <a:off x="2763266" y="1319448"/>
          <a:ext cx="199415" cy="1215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AfA</a:t>
          </a:r>
        </a:p>
      </cdr:txBody>
    </cdr:sp>
  </cdr:relSizeAnchor>
  <cdr:relSizeAnchor xmlns:cdr="http://schemas.openxmlformats.org/drawingml/2006/chartDrawing">
    <cdr:from>
      <cdr:x>0.85204</cdr:x>
      <cdr:y>0.29039</cdr:y>
    </cdr:from>
    <cdr:to>
      <cdr:x>0.98103</cdr:x>
      <cdr:y>0.33471</cdr:y>
    </cdr:to>
    <cdr:sp macro="" textlink="">
      <cdr:nvSpPr>
        <cdr:cNvPr id="6" name="Textfeld 5"/>
        <cdr:cNvSpPr txBox="1"/>
      </cdr:nvSpPr>
      <cdr:spPr>
        <a:xfrm xmlns:a="http://schemas.openxmlformats.org/drawingml/2006/main">
          <a:off x="2730839" y="796588"/>
          <a:ext cx="413426" cy="1215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Ø-Wert</a:t>
          </a:r>
        </a:p>
      </cdr:txBody>
    </cdr:sp>
  </cdr:relSizeAnchor>
  <cdr:relSizeAnchor xmlns:cdr="http://schemas.openxmlformats.org/drawingml/2006/chartDrawing">
    <cdr:from>
      <cdr:x>0.22858</cdr:x>
      <cdr:y>0.57851</cdr:y>
    </cdr:from>
    <cdr:to>
      <cdr:x>0.59911</cdr:x>
      <cdr:y>0.68225</cdr:y>
    </cdr:to>
    <cdr:sp macro="" textlink="">
      <cdr:nvSpPr>
        <cdr:cNvPr id="10" name="Textfeld 9"/>
        <cdr:cNvSpPr txBox="1"/>
      </cdr:nvSpPr>
      <cdr:spPr>
        <a:xfrm xmlns:a="http://schemas.openxmlformats.org/drawingml/2006/main">
          <a:off x="768560" y="1531866"/>
          <a:ext cx="1245843" cy="2747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Verlauf</a:t>
          </a:r>
          <a:r>
            <a:rPr lang="de-DE" sz="800" baseline="0">
              <a:latin typeface="Arial" panose="020B0604020202020204" pitchFamily="34" charset="0"/>
              <a:cs typeface="Arial" panose="020B0604020202020204" pitchFamily="34" charset="0"/>
            </a:rPr>
            <a:t> des Anlagew</a:t>
          </a:r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erts</a:t>
          </a:r>
          <a:br>
            <a:rPr lang="de-DE" sz="8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(Buchwert)</a:t>
          </a:r>
        </a:p>
      </cdr:txBody>
    </cdr:sp>
  </cdr:relSizeAnchor>
  <cdr:relSizeAnchor xmlns:cdr="http://schemas.openxmlformats.org/drawingml/2006/chartDrawing">
    <cdr:from>
      <cdr:x>0.56244</cdr:x>
      <cdr:y>0.37936</cdr:y>
    </cdr:from>
    <cdr:to>
      <cdr:x>0.66639</cdr:x>
      <cdr:y>0.58442</cdr:y>
    </cdr:to>
    <cdr:cxnSp macro="">
      <cdr:nvCxnSpPr>
        <cdr:cNvPr id="11" name="Gerade Verbindung mit Pfeil 10">
          <a:extLst xmlns:a="http://schemas.openxmlformats.org/drawingml/2006/main">
            <a:ext uri="{FF2B5EF4-FFF2-40B4-BE49-F238E27FC236}">
              <a16:creationId xmlns:a16="http://schemas.microsoft.com/office/drawing/2014/main" id="{22FCCDCB-7868-45FB-964F-5FA3F69BDFCA}"/>
            </a:ext>
          </a:extLst>
        </cdr:cNvPr>
        <cdr:cNvCxnSpPr/>
      </cdr:nvCxnSpPr>
      <cdr:spPr bwMode="auto">
        <a:xfrm xmlns:a="http://schemas.openxmlformats.org/drawingml/2006/main" flipV="1">
          <a:off x="1802658" y="1040657"/>
          <a:ext cx="333172" cy="562515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0.4357</cdr:x>
      <cdr:y>0.36838</cdr:y>
    </cdr:from>
    <cdr:to>
      <cdr:x>0.45872</cdr:x>
      <cdr:y>0.48099</cdr:y>
    </cdr:to>
    <cdr:sp macro="" textlink="">
      <cdr:nvSpPr>
        <cdr:cNvPr id="2" name="Geschweifte Klammer rechts 1"/>
        <cdr:cNvSpPr/>
      </cdr:nvSpPr>
      <cdr:spPr bwMode="auto">
        <a:xfrm xmlns:a="http://schemas.openxmlformats.org/drawingml/2006/main">
          <a:off x="1396461" y="1010529"/>
          <a:ext cx="73766" cy="308920"/>
        </a:xfrm>
        <a:prstGeom xmlns:a="http://schemas.openxmlformats.org/drawingml/2006/main" prst="rightBrace">
          <a:avLst>
            <a:gd name="adj1" fmla="val 23148"/>
            <a:gd name="adj2" fmla="val 5000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0.68104</cdr:x>
      <cdr:y>0.66273</cdr:y>
    </cdr:from>
    <cdr:to>
      <cdr:x>0.699</cdr:x>
      <cdr:y>0.7156</cdr:y>
    </cdr:to>
    <cdr:sp macro="" textlink="">
      <cdr:nvSpPr>
        <cdr:cNvPr id="3" name="Geschweifte Klammer rechts 2"/>
        <cdr:cNvSpPr/>
      </cdr:nvSpPr>
      <cdr:spPr bwMode="auto">
        <a:xfrm xmlns:a="http://schemas.openxmlformats.org/drawingml/2006/main">
          <a:off x="2182780" y="1817991"/>
          <a:ext cx="57554" cy="145036"/>
        </a:xfrm>
        <a:prstGeom xmlns:a="http://schemas.openxmlformats.org/drawingml/2006/main" prst="rightBrace">
          <a:avLst>
            <a:gd name="adj1" fmla="val 23148"/>
            <a:gd name="adj2" fmla="val 5000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0.70633</cdr:x>
      <cdr:y>0.66684</cdr:y>
    </cdr:from>
    <cdr:to>
      <cdr:x>0.90109</cdr:x>
      <cdr:y>0.71117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263844" y="1829272"/>
          <a:ext cx="624192" cy="1215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AfA</a:t>
          </a:r>
        </a:p>
      </cdr:txBody>
    </cdr:sp>
  </cdr:relSizeAnchor>
  <cdr:relSizeAnchor xmlns:cdr="http://schemas.openxmlformats.org/drawingml/2006/chartDrawing">
    <cdr:from>
      <cdr:x>0.47111</cdr:x>
      <cdr:y>0.40236</cdr:y>
    </cdr:from>
    <cdr:to>
      <cdr:x>0.53333</cdr:x>
      <cdr:y>0.44669</cdr:y>
    </cdr:to>
    <cdr:sp macro="" textlink="">
      <cdr:nvSpPr>
        <cdr:cNvPr id="5" name="Textfeld 4"/>
        <cdr:cNvSpPr txBox="1"/>
      </cdr:nvSpPr>
      <cdr:spPr>
        <a:xfrm xmlns:a="http://schemas.openxmlformats.org/drawingml/2006/main">
          <a:off x="1509951" y="1103751"/>
          <a:ext cx="199415" cy="1215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AfA</a:t>
          </a:r>
        </a:p>
      </cdr:txBody>
    </cdr:sp>
  </cdr:relSizeAnchor>
  <cdr:relSizeAnchor xmlns:cdr="http://schemas.openxmlformats.org/drawingml/2006/chartDrawing">
    <cdr:from>
      <cdr:x>0.84544</cdr:x>
      <cdr:y>0.53091</cdr:y>
    </cdr:from>
    <cdr:to>
      <cdr:x>0.97443</cdr:x>
      <cdr:y>0.57523</cdr:y>
    </cdr:to>
    <cdr:sp macro="" textlink="">
      <cdr:nvSpPr>
        <cdr:cNvPr id="6" name="Textfeld 5"/>
        <cdr:cNvSpPr txBox="1"/>
      </cdr:nvSpPr>
      <cdr:spPr>
        <a:xfrm xmlns:a="http://schemas.openxmlformats.org/drawingml/2006/main">
          <a:off x="2709694" y="1456380"/>
          <a:ext cx="413426" cy="1215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Ø-Wert</a:t>
          </a:r>
        </a:p>
      </cdr:txBody>
    </cdr:sp>
  </cdr:relSizeAnchor>
  <cdr:relSizeAnchor xmlns:cdr="http://schemas.openxmlformats.org/drawingml/2006/chartDrawing">
    <cdr:from>
      <cdr:x>0.21819</cdr:x>
      <cdr:y>0.72782</cdr:y>
    </cdr:from>
    <cdr:to>
      <cdr:x>0.58872</cdr:x>
      <cdr:y>0.82641</cdr:y>
    </cdr:to>
    <cdr:sp macro="" textlink="">
      <cdr:nvSpPr>
        <cdr:cNvPr id="9" name="Textfeld 8"/>
        <cdr:cNvSpPr txBox="1"/>
      </cdr:nvSpPr>
      <cdr:spPr>
        <a:xfrm xmlns:a="http://schemas.openxmlformats.org/drawingml/2006/main">
          <a:off x="733626" y="1927225"/>
          <a:ext cx="1245843" cy="261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Verlauf</a:t>
          </a:r>
          <a:r>
            <a:rPr lang="de-DE" sz="800" baseline="0">
              <a:latin typeface="Arial" panose="020B0604020202020204" pitchFamily="34" charset="0"/>
              <a:cs typeface="Arial" panose="020B0604020202020204" pitchFamily="34" charset="0"/>
            </a:rPr>
            <a:t> des Anlagew</a:t>
          </a:r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erts</a:t>
          </a:r>
          <a:br>
            <a:rPr lang="de-DE" sz="8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(Buchwert)</a:t>
          </a:r>
        </a:p>
      </cdr:txBody>
    </cdr:sp>
  </cdr:relSizeAnchor>
  <cdr:relSizeAnchor xmlns:cdr="http://schemas.openxmlformats.org/drawingml/2006/chartDrawing">
    <cdr:from>
      <cdr:x>0.4542</cdr:x>
      <cdr:y>0.63909</cdr:y>
    </cdr:from>
    <cdr:to>
      <cdr:x>0.53333</cdr:x>
      <cdr:y>0.72782</cdr:y>
    </cdr:to>
    <cdr:cxnSp macro="">
      <cdr:nvCxnSpPr>
        <cdr:cNvPr id="10" name="Gerade Verbindung mit Pfeil 9">
          <a:extLst xmlns:a="http://schemas.openxmlformats.org/drawingml/2006/main">
            <a:ext uri="{FF2B5EF4-FFF2-40B4-BE49-F238E27FC236}">
              <a16:creationId xmlns:a16="http://schemas.microsoft.com/office/drawing/2014/main" id="{D9E91C32-3678-4A8D-B80D-4CAE36638216}"/>
            </a:ext>
          </a:extLst>
        </cdr:cNvPr>
        <cdr:cNvCxnSpPr/>
      </cdr:nvCxnSpPr>
      <cdr:spPr bwMode="auto">
        <a:xfrm xmlns:a="http://schemas.openxmlformats.org/drawingml/2006/main" flipV="1">
          <a:off x="1527175" y="1692279"/>
          <a:ext cx="266054" cy="234946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0.76139</cdr:x>
      <cdr:y>0.53799</cdr:y>
    </cdr:from>
    <cdr:to>
      <cdr:x>0.78399</cdr:x>
      <cdr:y>0.61557</cdr:y>
    </cdr:to>
    <cdr:sp macro="" textlink="">
      <cdr:nvSpPr>
        <cdr:cNvPr id="2" name="Geschweifte Klammer rechts 1"/>
        <cdr:cNvSpPr/>
      </cdr:nvSpPr>
      <cdr:spPr bwMode="auto">
        <a:xfrm xmlns:a="http://schemas.openxmlformats.org/drawingml/2006/main">
          <a:off x="2555758" y="1418871"/>
          <a:ext cx="75846" cy="204612"/>
        </a:xfrm>
        <a:prstGeom xmlns:a="http://schemas.openxmlformats.org/drawingml/2006/main" prst="rightBrace">
          <a:avLst>
            <a:gd name="adj1" fmla="val 23148"/>
            <a:gd name="adj2" fmla="val 5000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0.30827</cdr:x>
      <cdr:y>0.03326</cdr:y>
    </cdr:from>
    <cdr:to>
      <cdr:x>0.33067</cdr:x>
      <cdr:y>0.11244</cdr:y>
    </cdr:to>
    <cdr:sp macro="" textlink="">
      <cdr:nvSpPr>
        <cdr:cNvPr id="3" name="Geschweifte Klammer rechts 2"/>
        <cdr:cNvSpPr/>
      </cdr:nvSpPr>
      <cdr:spPr bwMode="auto">
        <a:xfrm xmlns:a="http://schemas.openxmlformats.org/drawingml/2006/main">
          <a:off x="1034768" y="87724"/>
          <a:ext cx="75187" cy="208821"/>
        </a:xfrm>
        <a:prstGeom xmlns:a="http://schemas.openxmlformats.org/drawingml/2006/main" prst="rightBrace">
          <a:avLst>
            <a:gd name="adj1" fmla="val 23148"/>
            <a:gd name="adj2" fmla="val 5000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0.34115</cdr:x>
      <cdr:y>0.04743</cdr:y>
    </cdr:from>
    <cdr:to>
      <cdr:x>0.53585</cdr:x>
      <cdr:y>0.09176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1147062" y="125592"/>
          <a:ext cx="654645" cy="117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AfA</a:t>
          </a:r>
        </a:p>
      </cdr:txBody>
    </cdr:sp>
  </cdr:relSizeAnchor>
  <cdr:relSizeAnchor xmlns:cdr="http://schemas.openxmlformats.org/drawingml/2006/chartDrawing">
    <cdr:from>
      <cdr:x>0.79679</cdr:x>
      <cdr:y>0.55081</cdr:y>
    </cdr:from>
    <cdr:to>
      <cdr:x>0.87843</cdr:x>
      <cdr:y>0.59514</cdr:y>
    </cdr:to>
    <cdr:sp macro="" textlink="">
      <cdr:nvSpPr>
        <cdr:cNvPr id="5" name="Textfeld 4"/>
        <cdr:cNvSpPr txBox="1"/>
      </cdr:nvSpPr>
      <cdr:spPr>
        <a:xfrm xmlns:a="http://schemas.openxmlformats.org/drawingml/2006/main">
          <a:off x="2679082" y="1458506"/>
          <a:ext cx="274500" cy="117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AfA</a:t>
          </a:r>
        </a:p>
      </cdr:txBody>
    </cdr:sp>
  </cdr:relSizeAnchor>
  <cdr:relSizeAnchor xmlns:cdr="http://schemas.openxmlformats.org/drawingml/2006/chartDrawing">
    <cdr:from>
      <cdr:x>0.85106</cdr:x>
      <cdr:y>0.40647</cdr:y>
    </cdr:from>
    <cdr:to>
      <cdr:x>0.98002</cdr:x>
      <cdr:y>0.4508</cdr:y>
    </cdr:to>
    <cdr:sp macro="" textlink="">
      <cdr:nvSpPr>
        <cdr:cNvPr id="6" name="Textfeld 5"/>
        <cdr:cNvSpPr txBox="1"/>
      </cdr:nvSpPr>
      <cdr:spPr>
        <a:xfrm xmlns:a="http://schemas.openxmlformats.org/drawingml/2006/main">
          <a:off x="2728406" y="1115034"/>
          <a:ext cx="413426" cy="1215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Ø-Wert</a:t>
          </a:r>
        </a:p>
      </cdr:txBody>
    </cdr:sp>
  </cdr:relSizeAnchor>
  <cdr:relSizeAnchor xmlns:cdr="http://schemas.openxmlformats.org/drawingml/2006/chartDrawing">
    <cdr:from>
      <cdr:x>0.29477</cdr:x>
      <cdr:y>0.64879</cdr:y>
    </cdr:from>
    <cdr:to>
      <cdr:x>0.66521</cdr:x>
      <cdr:y>0.7482</cdr:y>
    </cdr:to>
    <cdr:sp macro="" textlink="">
      <cdr:nvSpPr>
        <cdr:cNvPr id="7" name="Textfeld 6"/>
        <cdr:cNvSpPr txBox="1"/>
      </cdr:nvSpPr>
      <cdr:spPr>
        <a:xfrm xmlns:a="http://schemas.openxmlformats.org/drawingml/2006/main">
          <a:off x="991113" y="1717962"/>
          <a:ext cx="1245540" cy="2632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pPr algn="ctr"/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Verlauf</a:t>
          </a:r>
          <a:r>
            <a:rPr lang="de-DE" sz="800" baseline="0">
              <a:latin typeface="Arial" panose="020B0604020202020204" pitchFamily="34" charset="0"/>
              <a:cs typeface="Arial" panose="020B0604020202020204" pitchFamily="34" charset="0"/>
            </a:rPr>
            <a:t> des Anlagew</a:t>
          </a:r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erts</a:t>
          </a:r>
          <a:br>
            <a:rPr lang="de-DE" sz="8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(Buchwert)</a:t>
          </a:r>
        </a:p>
      </cdr:txBody>
    </cdr:sp>
  </cdr:relSizeAnchor>
  <cdr:relSizeAnchor xmlns:cdr="http://schemas.openxmlformats.org/drawingml/2006/chartDrawing">
    <cdr:from>
      <cdr:x>0.62855</cdr:x>
      <cdr:y>0.59264</cdr:y>
    </cdr:from>
    <cdr:to>
      <cdr:x>0.68544</cdr:x>
      <cdr:y>0.6547</cdr:y>
    </cdr:to>
    <cdr:cxnSp macro="">
      <cdr:nvCxnSpPr>
        <cdr:cNvPr id="9" name="Gerade Verbindung mit Pfeil 8">
          <a:extLst xmlns:a="http://schemas.openxmlformats.org/drawingml/2006/main">
            <a:ext uri="{FF2B5EF4-FFF2-40B4-BE49-F238E27FC236}">
              <a16:creationId xmlns:a16="http://schemas.microsoft.com/office/drawing/2014/main" id="{23A26B51-168F-4F54-9ACC-01A2F108A93E}"/>
            </a:ext>
          </a:extLst>
        </cdr:cNvPr>
        <cdr:cNvCxnSpPr/>
      </cdr:nvCxnSpPr>
      <cdr:spPr bwMode="auto">
        <a:xfrm xmlns:a="http://schemas.openxmlformats.org/drawingml/2006/main" flipV="1">
          <a:off x="2015044" y="1625735"/>
          <a:ext cx="182394" cy="170234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</xdr:colOff>
      <xdr:row>49</xdr:row>
      <xdr:rowOff>57150</xdr:rowOff>
    </xdr:from>
    <xdr:to>
      <xdr:col>10</xdr:col>
      <xdr:colOff>282576</xdr:colOff>
      <xdr:row>64</xdr:row>
      <xdr:rowOff>38100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12700</xdr:colOff>
      <xdr:row>34</xdr:row>
      <xdr:rowOff>95250</xdr:rowOff>
    </xdr:from>
    <xdr:to>
      <xdr:col>10</xdr:col>
      <xdr:colOff>23969</xdr:colOff>
      <xdr:row>47</xdr:row>
      <xdr:rowOff>158750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184150</xdr:colOff>
      <xdr:row>34</xdr:row>
      <xdr:rowOff>95250</xdr:rowOff>
    </xdr:from>
    <xdr:to>
      <xdr:col>15</xdr:col>
      <xdr:colOff>0</xdr:colOff>
      <xdr:row>47</xdr:row>
      <xdr:rowOff>158750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0.76139</cdr:x>
      <cdr:y>0.53799</cdr:y>
    </cdr:from>
    <cdr:to>
      <cdr:x>0.78399</cdr:x>
      <cdr:y>0.61557</cdr:y>
    </cdr:to>
    <cdr:sp macro="" textlink="">
      <cdr:nvSpPr>
        <cdr:cNvPr id="2" name="Geschweifte Klammer rechts 1"/>
        <cdr:cNvSpPr/>
      </cdr:nvSpPr>
      <cdr:spPr bwMode="auto">
        <a:xfrm xmlns:a="http://schemas.openxmlformats.org/drawingml/2006/main">
          <a:off x="2555758" y="1418871"/>
          <a:ext cx="75846" cy="204612"/>
        </a:xfrm>
        <a:prstGeom xmlns:a="http://schemas.openxmlformats.org/drawingml/2006/main" prst="rightBrace">
          <a:avLst>
            <a:gd name="adj1" fmla="val 23148"/>
            <a:gd name="adj2" fmla="val 5000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0.30827</cdr:x>
      <cdr:y>0.03326</cdr:y>
    </cdr:from>
    <cdr:to>
      <cdr:x>0.33067</cdr:x>
      <cdr:y>0.11244</cdr:y>
    </cdr:to>
    <cdr:sp macro="" textlink="">
      <cdr:nvSpPr>
        <cdr:cNvPr id="3" name="Geschweifte Klammer rechts 2"/>
        <cdr:cNvSpPr/>
      </cdr:nvSpPr>
      <cdr:spPr bwMode="auto">
        <a:xfrm xmlns:a="http://schemas.openxmlformats.org/drawingml/2006/main">
          <a:off x="1034768" y="87724"/>
          <a:ext cx="75187" cy="208821"/>
        </a:xfrm>
        <a:prstGeom xmlns:a="http://schemas.openxmlformats.org/drawingml/2006/main" prst="rightBrace">
          <a:avLst>
            <a:gd name="adj1" fmla="val 23148"/>
            <a:gd name="adj2" fmla="val 5000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0.34115</cdr:x>
      <cdr:y>0.04743</cdr:y>
    </cdr:from>
    <cdr:to>
      <cdr:x>0.53585</cdr:x>
      <cdr:y>0.09176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1147062" y="125592"/>
          <a:ext cx="654645" cy="117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AfA</a:t>
          </a:r>
        </a:p>
      </cdr:txBody>
    </cdr:sp>
  </cdr:relSizeAnchor>
  <cdr:relSizeAnchor xmlns:cdr="http://schemas.openxmlformats.org/drawingml/2006/chartDrawing">
    <cdr:from>
      <cdr:x>0.79679</cdr:x>
      <cdr:y>0.55081</cdr:y>
    </cdr:from>
    <cdr:to>
      <cdr:x>0.87843</cdr:x>
      <cdr:y>0.59514</cdr:y>
    </cdr:to>
    <cdr:sp macro="" textlink="">
      <cdr:nvSpPr>
        <cdr:cNvPr id="5" name="Textfeld 4"/>
        <cdr:cNvSpPr txBox="1"/>
      </cdr:nvSpPr>
      <cdr:spPr>
        <a:xfrm xmlns:a="http://schemas.openxmlformats.org/drawingml/2006/main">
          <a:off x="2679082" y="1458506"/>
          <a:ext cx="274500" cy="117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AfA</a:t>
          </a:r>
        </a:p>
      </cdr:txBody>
    </cdr:sp>
  </cdr:relSizeAnchor>
  <cdr:relSizeAnchor xmlns:cdr="http://schemas.openxmlformats.org/drawingml/2006/chartDrawing">
    <cdr:from>
      <cdr:x>0.85106</cdr:x>
      <cdr:y>0.40647</cdr:y>
    </cdr:from>
    <cdr:to>
      <cdr:x>0.98002</cdr:x>
      <cdr:y>0.4508</cdr:y>
    </cdr:to>
    <cdr:sp macro="" textlink="">
      <cdr:nvSpPr>
        <cdr:cNvPr id="6" name="Textfeld 5"/>
        <cdr:cNvSpPr txBox="1"/>
      </cdr:nvSpPr>
      <cdr:spPr>
        <a:xfrm xmlns:a="http://schemas.openxmlformats.org/drawingml/2006/main">
          <a:off x="2728406" y="1115034"/>
          <a:ext cx="413426" cy="1215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Ø-Wert</a:t>
          </a:r>
        </a:p>
      </cdr:txBody>
    </cdr:sp>
  </cdr:relSizeAnchor>
  <cdr:relSizeAnchor xmlns:cdr="http://schemas.openxmlformats.org/drawingml/2006/chartDrawing">
    <cdr:from>
      <cdr:x>0.29477</cdr:x>
      <cdr:y>0.64879</cdr:y>
    </cdr:from>
    <cdr:to>
      <cdr:x>0.66521</cdr:x>
      <cdr:y>0.7482</cdr:y>
    </cdr:to>
    <cdr:sp macro="" textlink="">
      <cdr:nvSpPr>
        <cdr:cNvPr id="7" name="Textfeld 6"/>
        <cdr:cNvSpPr txBox="1"/>
      </cdr:nvSpPr>
      <cdr:spPr>
        <a:xfrm xmlns:a="http://schemas.openxmlformats.org/drawingml/2006/main">
          <a:off x="991113" y="1717962"/>
          <a:ext cx="1245540" cy="2632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pPr algn="ctr"/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Verlauf</a:t>
          </a:r>
          <a:r>
            <a:rPr lang="de-DE" sz="800" baseline="0">
              <a:latin typeface="Arial" panose="020B0604020202020204" pitchFamily="34" charset="0"/>
              <a:cs typeface="Arial" panose="020B0604020202020204" pitchFamily="34" charset="0"/>
            </a:rPr>
            <a:t> des Anlagew</a:t>
          </a:r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erts</a:t>
          </a:r>
          <a:br>
            <a:rPr lang="de-DE" sz="8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(Buchwert)</a:t>
          </a:r>
        </a:p>
      </cdr:txBody>
    </cdr:sp>
  </cdr:relSizeAnchor>
  <cdr:relSizeAnchor xmlns:cdr="http://schemas.openxmlformats.org/drawingml/2006/chartDrawing">
    <cdr:from>
      <cdr:x>0.62855</cdr:x>
      <cdr:y>0.59264</cdr:y>
    </cdr:from>
    <cdr:to>
      <cdr:x>0.68544</cdr:x>
      <cdr:y>0.6547</cdr:y>
    </cdr:to>
    <cdr:cxnSp macro="">
      <cdr:nvCxnSpPr>
        <cdr:cNvPr id="9" name="Gerade Verbindung mit Pfeil 8">
          <a:extLst xmlns:a="http://schemas.openxmlformats.org/drawingml/2006/main">
            <a:ext uri="{FF2B5EF4-FFF2-40B4-BE49-F238E27FC236}">
              <a16:creationId xmlns:a16="http://schemas.microsoft.com/office/drawing/2014/main" id="{87B55603-4060-4B6F-BFDF-7BE75DBAABFF}"/>
            </a:ext>
          </a:extLst>
        </cdr:cNvPr>
        <cdr:cNvCxnSpPr/>
      </cdr:nvCxnSpPr>
      <cdr:spPr bwMode="auto">
        <a:xfrm xmlns:a="http://schemas.openxmlformats.org/drawingml/2006/main" flipV="1">
          <a:off x="2015044" y="1625735"/>
          <a:ext cx="182394" cy="170234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 codeName="Tabelle1"/>
  <dimension ref="A1:AO70"/>
  <sheetViews>
    <sheetView showGridLines="0" tabSelected="1" workbookViewId="0">
      <selection activeCell="C3" sqref="C3:F3"/>
    </sheetView>
  </sheetViews>
  <sheetFormatPr baseColWidth="10" defaultColWidth="9.5546875" defaultRowHeight="13.8"/>
  <cols>
    <col min="1" max="1" width="1.5546875" style="25" customWidth="1"/>
    <col min="2" max="2" width="1.5546875" style="98" customWidth="1"/>
    <col min="3" max="3" width="3.5546875" style="29" customWidth="1"/>
    <col min="4" max="4" width="3.44140625" style="29" customWidth="1"/>
    <col min="5" max="5" width="3.5546875" style="29" customWidth="1"/>
    <col min="6" max="6" width="5.44140625" style="29" customWidth="1"/>
    <col min="7" max="7" width="6.77734375" style="29" customWidth="1"/>
    <col min="8" max="22" width="3.5546875" style="29" customWidth="1"/>
    <col min="23" max="23" width="3.5546875" style="101" customWidth="1"/>
    <col min="24" max="69" width="3.5546875" style="29" customWidth="1"/>
    <col min="70" max="16384" width="9.5546875" style="29"/>
  </cols>
  <sheetData>
    <row r="1" spans="2:41" ht="22.5" customHeight="1">
      <c r="B1" s="29"/>
      <c r="C1" s="1147"/>
      <c r="D1" s="1148"/>
      <c r="E1" s="1148"/>
      <c r="F1" s="1149"/>
      <c r="G1" s="1150"/>
      <c r="H1" s="1150"/>
      <c r="I1" s="1150"/>
      <c r="J1" s="1150"/>
      <c r="K1" s="1150"/>
      <c r="L1" s="1150"/>
      <c r="M1" s="1150"/>
      <c r="N1" s="1150"/>
      <c r="O1" s="1150"/>
      <c r="P1" s="1150"/>
      <c r="Q1" s="1150"/>
      <c r="R1" s="1150"/>
      <c r="S1" s="1150"/>
      <c r="T1" s="1150"/>
      <c r="U1" s="1150"/>
      <c r="V1" s="1150"/>
      <c r="W1" s="1150"/>
      <c r="X1" s="1151"/>
      <c r="AJ1" s="14"/>
      <c r="AK1" s="14"/>
      <c r="AL1" s="14"/>
      <c r="AM1" s="14"/>
    </row>
    <row r="2" spans="2:41" ht="22.5" customHeight="1">
      <c r="B2" s="29"/>
      <c r="C2" s="1152"/>
      <c r="D2" s="1153"/>
      <c r="E2" s="1153"/>
      <c r="F2" s="1153"/>
      <c r="G2" s="1153"/>
      <c r="H2" s="1153"/>
      <c r="I2" s="1153"/>
      <c r="J2" s="1153"/>
      <c r="K2" s="1153"/>
      <c r="L2" s="1153"/>
      <c r="M2" s="1153"/>
      <c r="N2" s="1153"/>
      <c r="O2" s="1153"/>
      <c r="P2" s="1153"/>
      <c r="Q2" s="1153"/>
      <c r="R2" s="1153"/>
      <c r="S2" s="1153"/>
      <c r="T2" s="1153"/>
      <c r="U2" s="1153"/>
      <c r="V2" s="1153"/>
      <c r="W2" s="1153"/>
      <c r="X2" s="1154"/>
      <c r="AJ2" s="14"/>
      <c r="AK2" s="14"/>
      <c r="AL2" s="14"/>
      <c r="AM2" s="14"/>
    </row>
    <row r="3" spans="2:41" ht="22.5" customHeight="1">
      <c r="B3" s="29"/>
      <c r="C3" s="1538" t="s">
        <v>1297</v>
      </c>
      <c r="D3" s="1539"/>
      <c r="E3" s="1539"/>
      <c r="F3" s="1540"/>
      <c r="G3" s="1155" t="s">
        <v>1298</v>
      </c>
      <c r="H3" s="1156"/>
      <c r="I3" s="1157"/>
      <c r="J3" s="1157"/>
      <c r="K3" s="1157"/>
      <c r="L3" s="1157"/>
      <c r="M3" s="1157"/>
      <c r="N3" s="1157"/>
      <c r="O3" s="1157"/>
      <c r="P3" s="1157"/>
      <c r="Q3" s="1157"/>
      <c r="R3" s="1157"/>
      <c r="S3" s="1158"/>
      <c r="T3" s="1159"/>
      <c r="U3" s="1538"/>
      <c r="V3" s="1541"/>
      <c r="W3" s="1541"/>
      <c r="X3" s="1542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63"/>
      <c r="AK3" s="163"/>
      <c r="AL3" s="163"/>
      <c r="AM3" s="163"/>
      <c r="AN3" s="114"/>
      <c r="AO3" s="114"/>
    </row>
    <row r="4" spans="2:41" ht="22.5" customHeight="1">
      <c r="B4" s="29"/>
      <c r="C4" s="1160"/>
      <c r="D4" s="1161" t="s">
        <v>1365</v>
      </c>
      <c r="E4" s="1162"/>
      <c r="F4" s="1162"/>
      <c r="G4" s="1162"/>
      <c r="H4" s="1162"/>
      <c r="I4" s="1162"/>
      <c r="J4" s="1162"/>
      <c r="K4" s="1162"/>
      <c r="L4" s="1162"/>
      <c r="M4" s="1162"/>
      <c r="N4" s="1162"/>
      <c r="O4" s="1162"/>
      <c r="P4" s="1162"/>
      <c r="Q4" s="1162"/>
      <c r="R4" s="1162"/>
      <c r="S4" s="1162"/>
      <c r="T4" s="1162"/>
      <c r="U4" s="1543"/>
      <c r="V4" s="1544"/>
      <c r="W4" s="1544"/>
      <c r="X4" s="1545"/>
      <c r="AJ4" s="14"/>
      <c r="AK4" s="14"/>
      <c r="AL4" s="14"/>
      <c r="AM4" s="14"/>
    </row>
    <row r="5" spans="2:41" ht="22.5" customHeight="1">
      <c r="B5" s="29"/>
      <c r="C5" s="1163"/>
      <c r="D5" s="1164"/>
      <c r="E5" s="1165"/>
      <c r="F5" s="1165"/>
      <c r="G5" s="1165"/>
      <c r="H5" s="1165"/>
      <c r="I5" s="1165"/>
      <c r="J5" s="1165"/>
      <c r="K5" s="1165"/>
      <c r="L5" s="1165"/>
      <c r="M5" s="1165"/>
      <c r="N5" s="1165"/>
      <c r="O5" s="1165"/>
      <c r="P5" s="1165"/>
      <c r="Q5" s="1165"/>
      <c r="R5" s="1165"/>
      <c r="S5" s="1165"/>
      <c r="T5" s="1165"/>
      <c r="U5" s="1546"/>
      <c r="V5" s="1547"/>
      <c r="W5" s="1547"/>
      <c r="X5" s="1548"/>
      <c r="AJ5" s="14"/>
      <c r="AK5" s="14"/>
      <c r="AL5" s="14"/>
      <c r="AM5" s="14"/>
    </row>
    <row r="6" spans="2:41">
      <c r="B6" s="29"/>
      <c r="C6" s="1166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167"/>
      <c r="AJ6" s="14"/>
      <c r="AK6" s="14"/>
      <c r="AL6" s="14"/>
      <c r="AM6" s="14"/>
    </row>
    <row r="7" spans="2:41">
      <c r="C7" s="1166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167"/>
      <c r="AJ7" s="14"/>
      <c r="AK7" s="14"/>
      <c r="AL7" s="14"/>
      <c r="AM7" s="14"/>
    </row>
    <row r="8" spans="2:41" ht="18.600000000000001">
      <c r="B8" s="89"/>
      <c r="C8" s="1024"/>
      <c r="D8" s="22" t="str">
        <f>+Text!C1</f>
        <v xml:space="preserve">1    </v>
      </c>
      <c r="E8" s="22" t="str">
        <f>Text!F1</f>
        <v>Allgemeine Grundsätze</v>
      </c>
      <c r="F8" s="16"/>
      <c r="G8" s="16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3"/>
      <c r="X8" s="1026"/>
      <c r="Y8"/>
      <c r="Z8" s="14"/>
      <c r="AA8" s="14"/>
      <c r="AD8" s="15"/>
      <c r="AE8" s="14"/>
      <c r="AF8" s="14"/>
      <c r="AG8" s="14"/>
      <c r="AH8" s="14"/>
      <c r="AI8" s="14"/>
      <c r="AJ8" s="14"/>
      <c r="AK8" s="14"/>
      <c r="AL8" s="14"/>
      <c r="AM8" s="14"/>
      <c r="AN8" s="14"/>
    </row>
    <row r="9" spans="2:41" ht="18.600000000000001">
      <c r="B9" s="89"/>
      <c r="C9" s="1024"/>
      <c r="D9" s="22"/>
      <c r="E9" s="8" t="str">
        <f>Text!C6</f>
        <v>1.1</v>
      </c>
      <c r="F9" s="14" t="str">
        <f>Text!F6</f>
        <v>Gliederung der Kosten dauerhafter Betriebsmittel</v>
      </c>
      <c r="G9" s="31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"/>
      <c r="X9" s="1026"/>
      <c r="Y9"/>
      <c r="Z9" s="14"/>
      <c r="AA9" s="14"/>
      <c r="AD9" s="15"/>
      <c r="AE9" s="14"/>
      <c r="AF9" s="14"/>
      <c r="AG9" s="14"/>
      <c r="AH9" s="14"/>
      <c r="AI9" s="14"/>
      <c r="AJ9" s="14"/>
      <c r="AK9" s="14"/>
      <c r="AL9" s="14"/>
      <c r="AM9" s="14"/>
      <c r="AN9" s="14"/>
    </row>
    <row r="10" spans="2:41">
      <c r="C10" s="1024"/>
      <c r="D10" s="15"/>
      <c r="E10" s="32" t="str">
        <f>Text!C50</f>
        <v>1.2</v>
      </c>
      <c r="F10" s="32" t="str">
        <f>Text!F50</f>
        <v>Absetzung für Abnutzung (AfA, Abschreibung)</v>
      </c>
      <c r="G10" s="14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"/>
      <c r="X10" s="1026"/>
      <c r="Y10"/>
      <c r="Z10" s="14"/>
      <c r="AA10" s="14"/>
      <c r="AD10" s="15"/>
      <c r="AE10" s="14"/>
      <c r="AF10" s="14"/>
      <c r="AG10" s="14"/>
      <c r="AH10" s="14"/>
      <c r="AI10" s="14"/>
      <c r="AJ10" s="14"/>
      <c r="AK10" s="14"/>
      <c r="AL10" s="14"/>
      <c r="AM10" s="14"/>
      <c r="AN10" s="14"/>
    </row>
    <row r="11" spans="2:41">
      <c r="C11" s="1024"/>
      <c r="D11" s="15"/>
      <c r="E11" s="32" t="str">
        <f>Text!C416</f>
        <v>1.3</v>
      </c>
      <c r="F11" s="32" t="str">
        <f>Text!F416</f>
        <v>Zinsanspruch</v>
      </c>
      <c r="G11" s="1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3"/>
      <c r="X11" s="1026"/>
      <c r="Y11"/>
      <c r="Z11" s="14"/>
      <c r="AA11" s="14"/>
      <c r="AD11" s="15"/>
      <c r="AE11" s="14"/>
      <c r="AF11" s="14"/>
      <c r="AG11" s="14"/>
      <c r="AH11" s="14"/>
      <c r="AI11" s="14"/>
      <c r="AJ11" s="14"/>
      <c r="AK11" s="14"/>
      <c r="AL11" s="14"/>
      <c r="AM11" s="14"/>
      <c r="AN11" s="14"/>
    </row>
    <row r="12" spans="2:41">
      <c r="C12" s="1024"/>
      <c r="D12" s="15"/>
      <c r="E12" s="32" t="str">
        <f>Text!C817</f>
        <v>1.4</v>
      </c>
      <c r="F12" s="32" t="str">
        <f>Text!F817</f>
        <v>Ermittlung der Kapitalkosten mit Hilfe des Annuitätenfaktors</v>
      </c>
      <c r="G12" s="1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3"/>
      <c r="X12" s="1026"/>
      <c r="Y12"/>
      <c r="Z12" s="14"/>
      <c r="AA12" s="14"/>
      <c r="AD12" s="15"/>
      <c r="AE12" s="14"/>
      <c r="AF12" s="14"/>
      <c r="AG12" s="14"/>
      <c r="AH12" s="14"/>
      <c r="AI12" s="14"/>
      <c r="AJ12" s="14"/>
      <c r="AK12" s="14"/>
      <c r="AL12" s="14"/>
      <c r="AM12" s="14"/>
      <c r="AN12" s="14"/>
    </row>
    <row r="13" spans="2:41">
      <c r="C13" s="1024"/>
      <c r="D13" s="15"/>
      <c r="E13" s="32"/>
      <c r="F13" s="32"/>
      <c r="G13" s="1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3"/>
      <c r="X13" s="1026"/>
      <c r="Y13"/>
      <c r="Z13" s="14"/>
      <c r="AA13" s="14"/>
      <c r="AD13" s="15"/>
      <c r="AE13" s="30"/>
      <c r="AF13" s="14"/>
      <c r="AG13" s="14"/>
      <c r="AH13" s="14"/>
      <c r="AI13" s="14"/>
      <c r="AJ13" s="14"/>
      <c r="AK13" s="14"/>
      <c r="AL13" s="14"/>
      <c r="AM13" s="14"/>
      <c r="AN13" s="14"/>
    </row>
    <row r="14" spans="2:41">
      <c r="C14" s="1024"/>
      <c r="D14" s="22" t="str">
        <f>Text!C843</f>
        <v>2</v>
      </c>
      <c r="E14" s="22" t="str">
        <f>Text!F843</f>
        <v>Kosten von Maschinen, Geräten und Betriebsvorrichtungen</v>
      </c>
      <c r="F14" s="32"/>
      <c r="G14" s="1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3"/>
      <c r="X14" s="1026"/>
      <c r="Y14"/>
      <c r="Z14" s="14"/>
      <c r="AA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</row>
    <row r="15" spans="2:41" ht="18.600000000000001">
      <c r="B15" s="89"/>
      <c r="C15" s="1024"/>
      <c r="D15" s="14"/>
      <c r="E15" s="34" t="str">
        <f>Text!C844</f>
        <v>2.1</v>
      </c>
      <c r="F15" s="34" t="str">
        <f>Text!F844</f>
        <v>Die Abschreibungsschwelle</v>
      </c>
      <c r="G15" s="1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"/>
      <c r="X15" s="1026"/>
      <c r="Y15"/>
      <c r="Z15" s="14"/>
      <c r="AA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</row>
    <row r="16" spans="2:41" ht="18.600000000000001">
      <c r="B16" s="89"/>
      <c r="C16" s="1024"/>
      <c r="D16" s="15"/>
      <c r="E16" s="8" t="str">
        <f>Text!C884</f>
        <v>2.2</v>
      </c>
      <c r="F16" s="31" t="str">
        <f>Text!F884</f>
        <v>Feste Kosten</v>
      </c>
      <c r="G16" s="14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"/>
      <c r="X16" s="1026"/>
      <c r="Y16"/>
      <c r="Z16" s="14"/>
      <c r="AA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</row>
    <row r="17" spans="2:40">
      <c r="C17" s="1024"/>
      <c r="D17" s="15"/>
      <c r="E17" s="8"/>
      <c r="F17" s="31" t="str">
        <f>Text!C885</f>
        <v>2.2.1</v>
      </c>
      <c r="G17" s="31" t="str">
        <f>Text!F885</f>
        <v>Abschreibung (bei unterschwelliger Nutzung)</v>
      </c>
      <c r="H17" s="31"/>
      <c r="I17" s="14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"/>
      <c r="X17" s="1026"/>
      <c r="Y17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</row>
    <row r="18" spans="2:40">
      <c r="C18" s="1024"/>
      <c r="D18" s="15"/>
      <c r="E18" s="8"/>
      <c r="F18" s="31" t="str">
        <f>Text!C916</f>
        <v>2.2.2</v>
      </c>
      <c r="G18" s="31" t="str">
        <f>Text!F916</f>
        <v>Zinsanspruch</v>
      </c>
      <c r="H18" s="31"/>
      <c r="I18" s="14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"/>
      <c r="X18" s="1026"/>
      <c r="Y18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</row>
    <row r="19" spans="2:40">
      <c r="C19" s="1024"/>
      <c r="D19" s="15"/>
      <c r="E19" s="8"/>
      <c r="F19" s="31" t="str">
        <f>Text!C928</f>
        <v>2.2.3</v>
      </c>
      <c r="G19" s="31" t="str">
        <f>Text!F928</f>
        <v>Unterbringung</v>
      </c>
      <c r="H19" s="31"/>
      <c r="I19" s="14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"/>
      <c r="X19" s="1026"/>
      <c r="Y19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</row>
    <row r="20" spans="2:40">
      <c r="C20" s="1024"/>
      <c r="D20" s="15"/>
      <c r="E20" s="8"/>
      <c r="F20" s="31" t="str">
        <f>Text!C957</f>
        <v>2.2.4</v>
      </c>
      <c r="G20" s="31" t="str">
        <f>Text!F957</f>
        <v>Versicherung, Steuern, Gebühren</v>
      </c>
      <c r="H20" s="31"/>
      <c r="I20" s="14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"/>
      <c r="X20" s="1026"/>
      <c r="Y20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</row>
    <row r="21" spans="2:40">
      <c r="C21" s="1024"/>
      <c r="D21" s="15"/>
      <c r="E21" s="8"/>
      <c r="F21" s="31" t="str">
        <f>Text!C996</f>
        <v>2.2.5</v>
      </c>
      <c r="G21" s="31" t="str">
        <f>Text!F996</f>
        <v>Praxis-Tipp</v>
      </c>
      <c r="H21" s="31"/>
      <c r="I21" s="14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"/>
      <c r="X21" s="1026"/>
      <c r="Y21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</row>
    <row r="22" spans="2:40" ht="18.600000000000001">
      <c r="B22" s="89"/>
      <c r="C22" s="1024"/>
      <c r="D22" s="31"/>
      <c r="E22" s="32" t="str">
        <f>Text!C1007</f>
        <v>2.3</v>
      </c>
      <c r="F22" s="86" t="str">
        <f>Text!F1007</f>
        <v>Variable Kosten</v>
      </c>
      <c r="G22" s="14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"/>
      <c r="X22" s="1026"/>
      <c r="Y22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</row>
    <row r="23" spans="2:40">
      <c r="C23" s="1024"/>
      <c r="D23" s="31"/>
      <c r="E23" s="32"/>
      <c r="F23" s="86" t="str">
        <f>Text!C1008</f>
        <v>2.3.1</v>
      </c>
      <c r="G23" s="86" t="str">
        <f>Text!F1008</f>
        <v>Abschreibung (bei überschwelliger Nutzung)</v>
      </c>
      <c r="H23" s="23"/>
      <c r="I23" s="14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"/>
      <c r="X23" s="1026"/>
      <c r="Y23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</row>
    <row r="24" spans="2:40">
      <c r="C24" s="1024"/>
      <c r="D24" s="31"/>
      <c r="E24" s="14"/>
      <c r="F24" s="32" t="str">
        <f>Text!C1017</f>
        <v>2.3.2</v>
      </c>
      <c r="G24" s="86" t="str">
        <f>Text!F1017</f>
        <v>Reparatur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"/>
      <c r="X24" s="1026"/>
      <c r="Y2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</row>
    <row r="25" spans="2:40">
      <c r="C25" s="1024"/>
      <c r="D25" s="31"/>
      <c r="E25" s="14"/>
      <c r="F25" s="32" t="str">
        <f>Text!C1147</f>
        <v>2.3.3</v>
      </c>
      <c r="G25" s="86" t="str">
        <f>Text!F1147</f>
        <v>Wartung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"/>
      <c r="X25" s="1026"/>
      <c r="Y25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</row>
    <row r="26" spans="2:40">
      <c r="C26" s="1024"/>
      <c r="D26" s="34"/>
      <c r="E26" s="14"/>
      <c r="F26" s="34" t="str">
        <f>Text!C1155</f>
        <v>2.3.4</v>
      </c>
      <c r="G26" s="34" t="str">
        <f>Text!F1155</f>
        <v>Betriebsstoffe, Verbrauchsmaterial, Hilfsstoffe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"/>
      <c r="X26" s="1026"/>
      <c r="Y26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</row>
    <row r="27" spans="2:40" ht="18.600000000000001">
      <c r="B27" s="89"/>
      <c r="C27" s="1024"/>
      <c r="D27" s="14"/>
      <c r="E27" s="8" t="str">
        <f>Text!C1179</f>
        <v>2.4</v>
      </c>
      <c r="F27" s="8" t="str">
        <f>Text!F1179</f>
        <v>Beispielhafte Maschinenkostenrechnungen</v>
      </c>
      <c r="G27" s="18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"/>
      <c r="X27" s="1026"/>
      <c r="Y27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</row>
    <row r="28" spans="2:40" ht="18.600000000000001">
      <c r="B28" s="89"/>
      <c r="C28" s="1024"/>
      <c r="D28" s="14"/>
      <c r="E28" s="15" t="str">
        <f>Text!C1276</f>
        <v>2.5</v>
      </c>
      <c r="F28" s="15" t="str">
        <f>Text!F1276</f>
        <v>Verfahrenskosten, Vergleichskosten und Mindesteinsatz</v>
      </c>
      <c r="G28" s="18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"/>
      <c r="X28" s="1026"/>
      <c r="Y28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</row>
    <row r="29" spans="2:40">
      <c r="C29" s="1024"/>
      <c r="D29" s="14"/>
      <c r="E29" s="34"/>
      <c r="F29" s="31" t="str">
        <f>Text!C1277</f>
        <v xml:space="preserve">2.5.1    </v>
      </c>
      <c r="G29" s="86" t="str">
        <f>Text!F1277</f>
        <v>Verfahrenskosten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"/>
      <c r="X29" s="1026"/>
      <c r="Y29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</row>
    <row r="30" spans="2:40">
      <c r="C30" s="1024"/>
      <c r="D30" s="14"/>
      <c r="E30" s="31"/>
      <c r="F30" s="32" t="str">
        <f>Text!C1329</f>
        <v>2.5.2</v>
      </c>
      <c r="G30" s="86" t="str">
        <f>Text!F1329</f>
        <v>Vergleichskosten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"/>
      <c r="X30" s="1026"/>
      <c r="Y30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</row>
    <row r="31" spans="2:40">
      <c r="C31" s="1024"/>
      <c r="D31" s="14"/>
      <c r="E31" s="31"/>
      <c r="F31" s="32" t="str">
        <f>Text!C1346</f>
        <v>2.5.3</v>
      </c>
      <c r="G31" s="31" t="str">
        <f>Text!F1346</f>
        <v>Mindestauslastung von Maschinen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"/>
      <c r="X31" s="1026"/>
      <c r="Y31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</row>
    <row r="32" spans="2:40">
      <c r="C32" s="1024"/>
      <c r="D32" s="15"/>
      <c r="E32" s="31"/>
      <c r="F32" s="95"/>
      <c r="G32" s="95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"/>
      <c r="X32" s="1026"/>
      <c r="Y32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</row>
    <row r="33" spans="1:40">
      <c r="C33" s="1024"/>
      <c r="D33" s="22" t="str">
        <f>Text!C1429</f>
        <v>3</v>
      </c>
      <c r="E33" s="96" t="str">
        <f>Text!F1429</f>
        <v>Kosten von Gebäuden, baulichen Anlagen, Dauerkulturen</v>
      </c>
      <c r="F33" s="17"/>
      <c r="G33" s="18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"/>
      <c r="X33" s="1026"/>
      <c r="Y33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</row>
    <row r="34" spans="1:40" ht="18.600000000000001">
      <c r="B34" s="89"/>
      <c r="C34" s="1024"/>
      <c r="D34" s="14"/>
      <c r="E34" s="95" t="str">
        <f>Text!C1441</f>
        <v>3.1</v>
      </c>
      <c r="F34" s="95" t="str">
        <f>Text!F1441</f>
        <v>Ableitung der einzelnen Kostenpositionen</v>
      </c>
      <c r="G34" s="95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"/>
      <c r="X34" s="1026"/>
      <c r="Y3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</row>
    <row r="35" spans="1:40">
      <c r="C35" s="1024"/>
      <c r="D35" s="95"/>
      <c r="E35" s="95" t="str">
        <f>Text!C1513</f>
        <v>3.2</v>
      </c>
      <c r="F35" s="95" t="str">
        <f>Text!F1513</f>
        <v>Spezifizierung von Gebäuden</v>
      </c>
      <c r="G35" s="95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"/>
      <c r="X35" s="1026"/>
      <c r="Y35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</row>
    <row r="36" spans="1:40">
      <c r="C36" s="1024"/>
      <c r="D36" s="95"/>
      <c r="E36" s="95" t="str">
        <f>Text!C1544</f>
        <v>3.3</v>
      </c>
      <c r="F36" s="95" t="str">
        <f>Text!F1544</f>
        <v>Bestimmung des Investitionsbedarfs</v>
      </c>
      <c r="G36" s="95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"/>
      <c r="X36" s="1026"/>
      <c r="Y36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</row>
    <row r="37" spans="1:40">
      <c r="C37" s="1024"/>
      <c r="D37" s="95"/>
      <c r="E37" s="95" t="str">
        <f>Text!C1608</f>
        <v>3.4</v>
      </c>
      <c r="F37" s="95" t="str">
        <f>Text!F1608</f>
        <v>Beispiel einer Gebäudekosten-Berechnung für einen Milchviehstall</v>
      </c>
      <c r="G37" s="95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"/>
      <c r="X37" s="1026"/>
      <c r="Y37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</row>
    <row r="38" spans="1:40">
      <c r="C38" s="1024"/>
      <c r="D38" s="95"/>
      <c r="E38" s="95"/>
      <c r="F38" s="95"/>
      <c r="G38" s="95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"/>
      <c r="X38" s="1026"/>
      <c r="Y38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</row>
    <row r="39" spans="1:40">
      <c r="C39" s="1024"/>
      <c r="D39" s="22"/>
      <c r="E39" s="96"/>
      <c r="F39" s="95"/>
      <c r="G39" s="95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"/>
      <c r="X39" s="1026"/>
      <c r="Y39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</row>
    <row r="40" spans="1:40">
      <c r="C40" s="1024"/>
      <c r="D40" s="95"/>
      <c r="E40" s="95"/>
      <c r="F40" s="95"/>
      <c r="G40" s="95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"/>
      <c r="X40" s="1026"/>
      <c r="Y40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</row>
    <row r="41" spans="1:40">
      <c r="C41" s="1024"/>
      <c r="D41" s="856" t="s">
        <v>9</v>
      </c>
      <c r="E41" s="14"/>
      <c r="F41" s="14"/>
      <c r="G41" s="14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"/>
      <c r="X41" s="1026"/>
      <c r="Y41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</row>
    <row r="42" spans="1:40" s="98" customFormat="1">
      <c r="A42" s="25"/>
      <c r="C42" s="1168"/>
      <c r="D42" s="225" t="str">
        <f>Traktor!B1</f>
        <v>Maschinenkostenkalkulation für Traktor, 102 kW (93 - 111 kW, 126 - 151 PS), Lastschaltgetriebe</v>
      </c>
      <c r="E42" s="99"/>
      <c r="F42" s="99"/>
      <c r="G42" s="99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97"/>
      <c r="X42" s="116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</row>
    <row r="43" spans="1:40" s="98" customFormat="1">
      <c r="A43" s="25"/>
      <c r="C43" s="1168"/>
      <c r="D43" s="225" t="str">
        <f>MDresch!B1</f>
        <v>Maschinenkostenkalkulation für Mähdrescher (220 kW ) mit Schneidwerk (7,5 m) und Strohhäcksler</v>
      </c>
      <c r="E43" s="99"/>
      <c r="F43" s="99"/>
      <c r="G43" s="99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97"/>
      <c r="X43" s="116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</row>
    <row r="44" spans="1:40" s="98" customFormat="1">
      <c r="A44" s="25"/>
      <c r="C44" s="1168"/>
      <c r="D44" s="225" t="str">
        <f>'SF-Häcksler'!B1</f>
        <v>Maschinenkostenkalkulation für Selbstfahr-Häcksler (250 kW) mit Maisgebiss 6-reihig</v>
      </c>
      <c r="E44" s="99"/>
      <c r="F44" s="148"/>
      <c r="G44" s="148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97"/>
      <c r="X44" s="116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</row>
    <row r="45" spans="1:40" s="98" customFormat="1">
      <c r="A45" s="25"/>
      <c r="C45" s="1170"/>
      <c r="D45" s="1171"/>
      <c r="E45" s="1171"/>
      <c r="F45" s="1171"/>
      <c r="G45" s="1171"/>
      <c r="H45" s="1171"/>
      <c r="I45" s="1172"/>
      <c r="J45" s="1172"/>
      <c r="K45" s="1172"/>
      <c r="L45" s="1172"/>
      <c r="M45" s="1172"/>
      <c r="N45" s="1172"/>
      <c r="O45" s="1172"/>
      <c r="P45" s="1172"/>
      <c r="Q45" s="1172"/>
      <c r="R45" s="1172"/>
      <c r="S45" s="1172"/>
      <c r="T45" s="1172"/>
      <c r="U45" s="1173"/>
      <c r="V45" s="1174"/>
      <c r="W45" s="1175"/>
      <c r="X45" s="1176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</row>
    <row r="46" spans="1:40" s="98" customFormat="1">
      <c r="A46" s="25"/>
      <c r="B46" s="99"/>
      <c r="C46" s="99"/>
      <c r="D46" s="99"/>
      <c r="E46" s="99"/>
      <c r="F46" s="99"/>
      <c r="G46" s="149"/>
      <c r="H46" s="99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1"/>
      <c r="W46" s="97"/>
      <c r="X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</row>
    <row r="47" spans="1:40" s="98" customFormat="1">
      <c r="A47" s="25"/>
      <c r="B47" s="99"/>
      <c r="C47" s="99"/>
      <c r="D47" s="99"/>
      <c r="E47" s="99"/>
      <c r="F47" s="99"/>
      <c r="G47" s="149"/>
      <c r="H47" s="99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1"/>
      <c r="W47" s="97"/>
      <c r="X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</row>
    <row r="48" spans="1:40" s="98" customFormat="1">
      <c r="A48" s="25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7"/>
      <c r="X48" s="99"/>
      <c r="Z48" s="99"/>
      <c r="AA48" s="99"/>
      <c r="AB48" s="99"/>
      <c r="AC48" s="99"/>
      <c r="AD48" s="99"/>
      <c r="AE48" s="99"/>
      <c r="AF48" s="99"/>
      <c r="AG48" s="99"/>
      <c r="AH48" s="99"/>
    </row>
    <row r="49" spans="2:27">
      <c r="B49" s="99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00"/>
      <c r="X49" s="14"/>
      <c r="Y49"/>
      <c r="Z49" s="14"/>
      <c r="AA49" s="14"/>
    </row>
    <row r="50" spans="2:27">
      <c r="B50" s="99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00"/>
      <c r="X50" s="14"/>
      <c r="Y50"/>
      <c r="Z50" s="14"/>
      <c r="AA50" s="14"/>
    </row>
    <row r="51" spans="2:27">
      <c r="B51" s="99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00"/>
      <c r="X51" s="14"/>
      <c r="Y51"/>
      <c r="Z51" s="14"/>
      <c r="AA51" s="14"/>
    </row>
    <row r="52" spans="2:27">
      <c r="Y52"/>
    </row>
    <row r="53" spans="2:27">
      <c r="Y53"/>
    </row>
    <row r="54" spans="2:27">
      <c r="Y54"/>
    </row>
    <row r="55" spans="2:27">
      <c r="Y55"/>
    </row>
    <row r="56" spans="2:27">
      <c r="Y56"/>
    </row>
    <row r="57" spans="2:27">
      <c r="Y57"/>
    </row>
    <row r="58" spans="2:27">
      <c r="Y58"/>
    </row>
    <row r="59" spans="2:27">
      <c r="Y59"/>
    </row>
    <row r="60" spans="2:27">
      <c r="Y60"/>
    </row>
    <row r="61" spans="2:27">
      <c r="Y61"/>
    </row>
    <row r="62" spans="2:27">
      <c r="Y62"/>
    </row>
    <row r="63" spans="2:27">
      <c r="Y63"/>
    </row>
    <row r="64" spans="2:27">
      <c r="Y64"/>
    </row>
    <row r="65" spans="25:25">
      <c r="Y65"/>
    </row>
    <row r="66" spans="25:25">
      <c r="Y66"/>
    </row>
    <row r="67" spans="25:25">
      <c r="Y67"/>
    </row>
    <row r="68" spans="25:25">
      <c r="Y68"/>
    </row>
    <row r="69" spans="25:25">
      <c r="Y69"/>
    </row>
    <row r="70" spans="25:25">
      <c r="Y70"/>
    </row>
  </sheetData>
  <mergeCells count="4">
    <mergeCell ref="C3:F3"/>
    <mergeCell ref="U3:X3"/>
    <mergeCell ref="U4:X4"/>
    <mergeCell ref="U5:X5"/>
  </mergeCells>
  <phoneticPr fontId="5" type="noConversion"/>
  <printOptions gridLinesSet="0"/>
  <pageMargins left="0.78740157480314965" right="0.78740157480314965" top="0.78740157480314965" bottom="0.78740157480314965" header="0.23622047244094491" footer="0.39370078740157483"/>
  <pageSetup paperSize="9" orientation="portrait" horizontalDpi="4294967292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:IV1661"/>
  <sheetViews>
    <sheetView showGridLines="0" topLeftCell="A1189" zoomScaleNormal="100" workbookViewId="0">
      <selection activeCell="P1223" sqref="P1223"/>
    </sheetView>
  </sheetViews>
  <sheetFormatPr baseColWidth="10" defaultColWidth="11.44140625" defaultRowHeight="13.8"/>
  <cols>
    <col min="1" max="1" width="1" style="25" customWidth="1"/>
    <col min="2" max="2" width="1" style="33" customWidth="1"/>
    <col min="3" max="5" width="2.44140625" style="33" customWidth="1"/>
    <col min="6" max="18" width="6.5546875" style="33" customWidth="1"/>
    <col min="19" max="30" width="7.5546875" style="33" customWidth="1"/>
    <col min="31" max="16384" width="11.44140625" style="33"/>
  </cols>
  <sheetData>
    <row r="1" spans="2:13" ht="22.8">
      <c r="B1" s="4"/>
      <c r="C1" s="93" t="s">
        <v>841</v>
      </c>
      <c r="D1" s="94"/>
      <c r="E1"/>
      <c r="F1" s="672" t="s">
        <v>619</v>
      </c>
    </row>
    <row r="2" spans="2:13">
      <c r="B2" s="35"/>
      <c r="C2" s="33" t="s">
        <v>899</v>
      </c>
      <c r="D2" s="35"/>
    </row>
    <row r="3" spans="2:13">
      <c r="B3" s="35"/>
      <c r="C3" s="37" t="s">
        <v>902</v>
      </c>
      <c r="D3" s="35"/>
    </row>
    <row r="4" spans="2:13">
      <c r="B4" s="35"/>
      <c r="C4" s="37" t="s">
        <v>368</v>
      </c>
      <c r="D4" s="35"/>
    </row>
    <row r="5" spans="2:13">
      <c r="B5" s="35"/>
      <c r="C5" s="36"/>
      <c r="D5" s="35"/>
    </row>
    <row r="6" spans="2:13" ht="20.399999999999999">
      <c r="C6" s="169" t="s">
        <v>381</v>
      </c>
      <c r="D6" s="76"/>
      <c r="E6"/>
      <c r="F6" s="183" t="s">
        <v>898</v>
      </c>
      <c r="G6" s="25"/>
    </row>
    <row r="7" spans="2:13">
      <c r="B7" s="35"/>
      <c r="C7" s="33" t="s">
        <v>1195</v>
      </c>
      <c r="D7" s="35"/>
    </row>
    <row r="8" spans="2:13">
      <c r="B8" s="35"/>
      <c r="C8" s="36" t="s">
        <v>1196</v>
      </c>
      <c r="D8" s="35"/>
    </row>
    <row r="9" spans="2:13">
      <c r="B9" s="35"/>
      <c r="C9" s="36" t="s">
        <v>696</v>
      </c>
      <c r="D9" s="35"/>
    </row>
    <row r="10" spans="2:13" ht="18.600000000000001">
      <c r="B10" s="170"/>
      <c r="I10" s="49" t="s">
        <v>1174</v>
      </c>
      <c r="K10" s="392" t="s">
        <v>974</v>
      </c>
      <c r="M10" s="49" t="s">
        <v>1176</v>
      </c>
    </row>
    <row r="11" spans="2:13" ht="12.75" customHeight="1">
      <c r="B11" s="35"/>
      <c r="I11" s="49" t="s">
        <v>146</v>
      </c>
      <c r="K11" s="392"/>
      <c r="M11" s="49" t="s">
        <v>147</v>
      </c>
    </row>
    <row r="12" spans="2:13">
      <c r="B12" s="35"/>
      <c r="I12" s="49"/>
      <c r="K12" s="392"/>
      <c r="M12" s="49"/>
    </row>
    <row r="13" spans="2:13">
      <c r="B13" s="35"/>
      <c r="C13" s="33" t="s">
        <v>1197</v>
      </c>
      <c r="I13" s="49"/>
      <c r="K13" s="392"/>
      <c r="M13" s="49"/>
    </row>
    <row r="14" spans="2:13">
      <c r="B14" s="35"/>
      <c r="C14" s="33" t="s">
        <v>1198</v>
      </c>
      <c r="I14" s="49"/>
      <c r="K14" s="392"/>
      <c r="M14" s="49"/>
    </row>
    <row r="15" spans="2:13">
      <c r="B15" s="35"/>
      <c r="C15" s="33" t="s">
        <v>1199</v>
      </c>
      <c r="I15" s="49"/>
      <c r="K15" s="392"/>
      <c r="M15" s="49"/>
    </row>
    <row r="16" spans="2:13">
      <c r="B16" s="35"/>
      <c r="C16" s="98" t="s">
        <v>1299</v>
      </c>
      <c r="I16" s="49"/>
      <c r="K16" s="392"/>
      <c r="M16" s="49"/>
    </row>
    <row r="17" spans="2:17">
      <c r="B17" s="35"/>
      <c r="C17" s="98" t="s">
        <v>1300</v>
      </c>
      <c r="I17" s="49"/>
      <c r="K17" s="392"/>
      <c r="M17" s="49"/>
    </row>
    <row r="18" spans="2:17">
      <c r="B18" s="35"/>
      <c r="C18" s="33" t="s">
        <v>1200</v>
      </c>
      <c r="I18" s="49"/>
      <c r="K18" s="392"/>
      <c r="M18" s="49"/>
    </row>
    <row r="19" spans="2:17">
      <c r="B19" s="35"/>
      <c r="C19" s="33" t="s">
        <v>1201</v>
      </c>
      <c r="I19" s="49"/>
      <c r="K19" s="392"/>
      <c r="M19" s="49"/>
    </row>
    <row r="20" spans="2:17">
      <c r="B20" s="35"/>
      <c r="C20" s="98" t="s">
        <v>1202</v>
      </c>
      <c r="I20" s="49"/>
      <c r="K20" s="392"/>
      <c r="M20" s="49"/>
    </row>
    <row r="21" spans="2:17" ht="18.600000000000001">
      <c r="B21" s="170"/>
      <c r="C21" s="37" t="s">
        <v>1037</v>
      </c>
      <c r="D21" s="35"/>
    </row>
    <row r="22" spans="2:17">
      <c r="B22" s="35"/>
      <c r="C22" s="37" t="s">
        <v>1038</v>
      </c>
      <c r="D22" s="35"/>
    </row>
    <row r="23" spans="2:17" ht="24.6">
      <c r="B23" s="1030">
        <v>1</v>
      </c>
      <c r="C23" s="1031" t="str">
        <f>"Übersicht "&amp;FIXED(B23,0)&amp;":"</f>
        <v>Übersicht 1:</v>
      </c>
      <c r="D23" s="25"/>
      <c r="E23" s="25"/>
      <c r="F23"/>
      <c r="G23" s="1032" t="s">
        <v>898</v>
      </c>
      <c r="H23"/>
    </row>
    <row r="24" spans="2:17">
      <c r="B24" s="35"/>
      <c r="C24" s="36"/>
      <c r="D24" s="35"/>
      <c r="M24" s="628" t="s">
        <v>900</v>
      </c>
      <c r="N24" s="629" t="s">
        <v>904</v>
      </c>
      <c r="O24" s="629" t="s">
        <v>905</v>
      </c>
      <c r="P24" s="629" t="s">
        <v>903</v>
      </c>
      <c r="Q24" s="630" t="s">
        <v>906</v>
      </c>
    </row>
    <row r="25" spans="2:17" ht="18.600000000000001">
      <c r="B25" s="88"/>
      <c r="D25" s="626" t="s">
        <v>327</v>
      </c>
      <c r="E25" s="621"/>
      <c r="F25" s="176"/>
      <c r="G25" s="176"/>
      <c r="H25" s="176"/>
      <c r="I25" s="176"/>
      <c r="J25" s="176"/>
      <c r="K25" s="176"/>
      <c r="L25" s="176"/>
      <c r="M25" s="628"/>
      <c r="N25" s="629"/>
      <c r="O25" s="629"/>
      <c r="P25" s="629"/>
      <c r="Q25" s="630"/>
    </row>
    <row r="26" spans="2:17">
      <c r="B26" s="35"/>
      <c r="D26" s="622" t="s">
        <v>840</v>
      </c>
      <c r="E26" s="110" t="s">
        <v>148</v>
      </c>
      <c r="F26" s="34"/>
      <c r="G26" s="34"/>
      <c r="H26" s="34"/>
      <c r="I26" s="34"/>
      <c r="J26" s="34"/>
      <c r="K26" s="34"/>
      <c r="L26" s="34"/>
      <c r="M26" s="631" t="s">
        <v>645</v>
      </c>
      <c r="N26" s="632" t="s">
        <v>901</v>
      </c>
      <c r="O26" s="632" t="s">
        <v>1132</v>
      </c>
      <c r="P26" s="632" t="s">
        <v>1132</v>
      </c>
      <c r="Q26" s="633" t="s">
        <v>1132</v>
      </c>
    </row>
    <row r="27" spans="2:17">
      <c r="B27" s="35"/>
      <c r="D27" s="622" t="s">
        <v>840</v>
      </c>
      <c r="E27" s="110" t="s">
        <v>839</v>
      </c>
      <c r="F27" s="34"/>
      <c r="G27" s="34"/>
      <c r="H27" s="34"/>
      <c r="I27" s="34"/>
      <c r="J27" s="34"/>
      <c r="K27" s="34"/>
      <c r="L27" s="34"/>
      <c r="M27" s="631" t="s">
        <v>1132</v>
      </c>
      <c r="N27" s="632" t="s">
        <v>1132</v>
      </c>
      <c r="O27" s="632" t="s">
        <v>1132</v>
      </c>
      <c r="P27" s="632" t="s">
        <v>1132</v>
      </c>
      <c r="Q27" s="633" t="s">
        <v>1132</v>
      </c>
    </row>
    <row r="28" spans="2:17">
      <c r="B28" s="35"/>
      <c r="D28" s="622" t="s">
        <v>840</v>
      </c>
      <c r="E28" s="110" t="s">
        <v>597</v>
      </c>
      <c r="F28" s="34"/>
      <c r="G28" s="34"/>
      <c r="H28" s="34"/>
      <c r="I28" s="34"/>
      <c r="J28" s="34"/>
      <c r="K28" s="34"/>
      <c r="L28" s="34"/>
      <c r="M28" s="631" t="s">
        <v>1132</v>
      </c>
      <c r="N28" s="632"/>
      <c r="O28" s="632" t="s">
        <v>901</v>
      </c>
      <c r="P28" s="632" t="s">
        <v>1132</v>
      </c>
      <c r="Q28" s="633" t="s">
        <v>1132</v>
      </c>
    </row>
    <row r="29" spans="2:17">
      <c r="B29" s="35"/>
      <c r="D29" s="622" t="s">
        <v>840</v>
      </c>
      <c r="E29" s="110" t="s">
        <v>596</v>
      </c>
      <c r="F29" s="34"/>
      <c r="G29" s="34"/>
      <c r="H29" s="34"/>
      <c r="I29" s="34"/>
      <c r="J29" s="34"/>
      <c r="K29" s="34"/>
      <c r="L29" s="34"/>
      <c r="M29" s="631"/>
      <c r="N29" s="632"/>
      <c r="O29" s="632"/>
      <c r="P29" s="632"/>
      <c r="Q29" s="633" t="s">
        <v>1132</v>
      </c>
    </row>
    <row r="30" spans="2:17">
      <c r="B30" s="35"/>
      <c r="D30" s="623" t="s">
        <v>840</v>
      </c>
      <c r="E30" s="625" t="s">
        <v>365</v>
      </c>
      <c r="F30" s="154"/>
      <c r="G30" s="154"/>
      <c r="H30" s="154"/>
      <c r="I30" s="154"/>
      <c r="J30" s="154"/>
      <c r="K30" s="154"/>
      <c r="L30" s="154"/>
      <c r="M30" s="634"/>
      <c r="N30" s="635" t="s">
        <v>1132</v>
      </c>
      <c r="O30" s="635" t="s">
        <v>1132</v>
      </c>
      <c r="P30" s="635" t="s">
        <v>1132</v>
      </c>
      <c r="Q30" s="636"/>
    </row>
    <row r="31" spans="2:17" ht="18.600000000000001">
      <c r="B31" s="88"/>
      <c r="D31" s="627" t="s">
        <v>328</v>
      </c>
      <c r="E31" s="34"/>
      <c r="F31" s="34"/>
      <c r="G31" s="34"/>
      <c r="H31" s="34"/>
      <c r="I31" s="34"/>
      <c r="J31" s="34"/>
      <c r="K31" s="34"/>
      <c r="L31" s="34"/>
      <c r="M31" s="631"/>
      <c r="N31" s="632"/>
      <c r="O31" s="632"/>
      <c r="P31" s="632"/>
      <c r="Q31" s="633"/>
    </row>
    <row r="32" spans="2:17">
      <c r="B32" s="35"/>
      <c r="D32" s="622" t="s">
        <v>840</v>
      </c>
      <c r="E32" s="32" t="s">
        <v>182</v>
      </c>
      <c r="F32" s="34"/>
      <c r="G32" s="34"/>
      <c r="H32" s="34"/>
      <c r="I32" s="34"/>
      <c r="J32" s="34"/>
      <c r="K32" s="34"/>
      <c r="L32" s="34"/>
      <c r="M32" s="631"/>
      <c r="N32" s="632"/>
      <c r="O32" s="632"/>
      <c r="P32" s="632"/>
      <c r="Q32" s="633" t="s">
        <v>1132</v>
      </c>
    </row>
    <row r="33" spans="2:17">
      <c r="B33" s="35"/>
      <c r="D33" s="622" t="s">
        <v>840</v>
      </c>
      <c r="E33" s="32" t="s">
        <v>183</v>
      </c>
      <c r="F33" s="34"/>
      <c r="G33" s="34"/>
      <c r="H33" s="34"/>
      <c r="I33" s="34"/>
      <c r="J33" s="34"/>
      <c r="K33" s="34"/>
      <c r="L33" s="34"/>
      <c r="M33" s="631"/>
      <c r="N33" s="632"/>
      <c r="O33" s="632"/>
      <c r="P33" s="632"/>
      <c r="Q33" s="633" t="s">
        <v>901</v>
      </c>
    </row>
    <row r="34" spans="2:17">
      <c r="B34" s="35"/>
      <c r="D34" s="622" t="s">
        <v>840</v>
      </c>
      <c r="E34" s="110" t="s">
        <v>907</v>
      </c>
      <c r="F34" s="34"/>
      <c r="G34" s="34"/>
      <c r="H34" s="34"/>
      <c r="I34" s="34"/>
      <c r="J34" s="34"/>
      <c r="K34" s="34"/>
      <c r="L34" s="34"/>
      <c r="M34" s="631"/>
      <c r="N34" s="632"/>
      <c r="O34" s="632"/>
      <c r="P34" s="632"/>
      <c r="Q34" s="633" t="s">
        <v>1132</v>
      </c>
    </row>
    <row r="35" spans="2:17">
      <c r="B35" s="35"/>
      <c r="D35" s="623" t="s">
        <v>840</v>
      </c>
      <c r="E35" s="624" t="s">
        <v>149</v>
      </c>
      <c r="F35" s="154"/>
      <c r="G35" s="154"/>
      <c r="H35" s="154"/>
      <c r="I35" s="154"/>
      <c r="J35" s="154"/>
      <c r="K35" s="154"/>
      <c r="L35" s="154"/>
      <c r="M35" s="634"/>
      <c r="N35" s="635"/>
      <c r="O35" s="635"/>
      <c r="P35" s="635"/>
      <c r="Q35" s="636" t="s">
        <v>901</v>
      </c>
    </row>
    <row r="36" spans="2:17">
      <c r="B36" s="35"/>
      <c r="C36" s="37" t="s">
        <v>844</v>
      </c>
      <c r="D36" s="1068" t="s">
        <v>1203</v>
      </c>
    </row>
    <row r="37" spans="2:17">
      <c r="C37" s="33" t="s">
        <v>920</v>
      </c>
    </row>
    <row r="38" spans="2:17">
      <c r="C38" s="33" t="s">
        <v>921</v>
      </c>
    </row>
    <row r="39" spans="2:17">
      <c r="C39" s="33" t="s">
        <v>555</v>
      </c>
      <c r="D39" s="33" t="s">
        <v>922</v>
      </c>
      <c r="J39" s="33" t="s">
        <v>924</v>
      </c>
    </row>
    <row r="40" spans="2:17">
      <c r="C40" s="33" t="s">
        <v>555</v>
      </c>
      <c r="D40" s="98" t="s">
        <v>923</v>
      </c>
      <c r="J40" s="33" t="s">
        <v>925</v>
      </c>
    </row>
    <row r="42" spans="2:17">
      <c r="C42" s="33" t="s">
        <v>1042</v>
      </c>
    </row>
    <row r="43" spans="2:17">
      <c r="C43" s="33" t="s">
        <v>938</v>
      </c>
    </row>
    <row r="44" spans="2:17">
      <c r="C44" s="33" t="s">
        <v>939</v>
      </c>
    </row>
    <row r="45" spans="2:17" ht="18.600000000000001">
      <c r="B45" s="182"/>
      <c r="C45" s="1033" t="s">
        <v>975</v>
      </c>
      <c r="D45" s="192"/>
      <c r="F45" s="192" t="s">
        <v>976</v>
      </c>
    </row>
    <row r="46" spans="2:17" ht="11.25" customHeight="1">
      <c r="C46" s="192"/>
      <c r="D46" s="192"/>
      <c r="F46" s="192" t="s">
        <v>598</v>
      </c>
    </row>
    <row r="47" spans="2:17" ht="11.25" customHeight="1">
      <c r="F47" s="192" t="s">
        <v>977</v>
      </c>
    </row>
    <row r="50" spans="2:21" ht="20.399999999999999">
      <c r="C50" s="169" t="s">
        <v>380</v>
      </c>
      <c r="D50" s="76"/>
      <c r="E50"/>
      <c r="F50" s="183" t="s">
        <v>895</v>
      </c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</row>
    <row r="51" spans="2:21">
      <c r="C51" s="33" t="s">
        <v>1141</v>
      </c>
    </row>
    <row r="52" spans="2:21">
      <c r="C52" s="33" t="s">
        <v>1142</v>
      </c>
    </row>
    <row r="53" spans="2:21">
      <c r="C53" s="33" t="s">
        <v>1143</v>
      </c>
    </row>
    <row r="54" spans="2:21">
      <c r="C54" s="33" t="s">
        <v>896</v>
      </c>
    </row>
    <row r="55" spans="2:21">
      <c r="C55" s="33" t="s">
        <v>897</v>
      </c>
    </row>
    <row r="56" spans="2:21" ht="18.600000000000001">
      <c r="B56" s="182"/>
      <c r="C56" s="33" t="s">
        <v>940</v>
      </c>
    </row>
    <row r="57" spans="2:21">
      <c r="C57" s="33" t="s">
        <v>600</v>
      </c>
    </row>
    <row r="58" spans="2:21" ht="18.600000000000001">
      <c r="B58" s="182"/>
      <c r="C58" s="33" t="s">
        <v>908</v>
      </c>
    </row>
    <row r="59" spans="2:21">
      <c r="C59" s="33" t="s">
        <v>909</v>
      </c>
    </row>
    <row r="60" spans="2:21">
      <c r="C60" s="33" t="s">
        <v>910</v>
      </c>
    </row>
    <row r="61" spans="2:21">
      <c r="C61" s="33" t="s">
        <v>697</v>
      </c>
    </row>
    <row r="62" spans="2:21" ht="18.600000000000001">
      <c r="B62" s="182"/>
      <c r="D62" s="33" t="s">
        <v>942</v>
      </c>
      <c r="G62" s="33" t="s">
        <v>1204</v>
      </c>
    </row>
    <row r="63" spans="2:21">
      <c r="G63" s="80" t="s">
        <v>1205</v>
      </c>
    </row>
    <row r="64" spans="2:21" ht="18.600000000000001">
      <c r="B64" s="182"/>
      <c r="C64" s="1069" t="s">
        <v>1209</v>
      </c>
      <c r="G64" s="80"/>
    </row>
    <row r="65" spans="2:7">
      <c r="C65" s="1069" t="s">
        <v>1210</v>
      </c>
      <c r="G65" s="80"/>
    </row>
    <row r="66" spans="2:7">
      <c r="C66" s="1069" t="s">
        <v>1211</v>
      </c>
      <c r="G66" s="80"/>
    </row>
    <row r="67" spans="2:7">
      <c r="C67" s="1069" t="s">
        <v>1212</v>
      </c>
      <c r="G67" s="80"/>
    </row>
    <row r="68" spans="2:7">
      <c r="C68" s="1069" t="s">
        <v>1213</v>
      </c>
      <c r="G68" s="80"/>
    </row>
    <row r="69" spans="2:7">
      <c r="C69" s="1069" t="s">
        <v>1214</v>
      </c>
      <c r="G69" s="80"/>
    </row>
    <row r="70" spans="2:7" ht="18.600000000000001">
      <c r="B70" s="182"/>
      <c r="C70" s="33" t="s">
        <v>1146</v>
      </c>
    </row>
    <row r="71" spans="2:7">
      <c r="C71" s="98" t="s">
        <v>1206</v>
      </c>
    </row>
    <row r="72" spans="2:7">
      <c r="C72" s="98" t="s">
        <v>1501</v>
      </c>
    </row>
    <row r="73" spans="2:7">
      <c r="C73" s="98" t="s">
        <v>1207</v>
      </c>
    </row>
    <row r="74" spans="2:7">
      <c r="C74" s="98" t="s">
        <v>1208</v>
      </c>
    </row>
    <row r="75" spans="2:7">
      <c r="C75" s="33" t="s">
        <v>941</v>
      </c>
    </row>
    <row r="76" spans="2:7">
      <c r="C76" s="33" t="s">
        <v>559</v>
      </c>
    </row>
    <row r="77" spans="2:7" ht="18.600000000000001">
      <c r="B77" s="182"/>
      <c r="C77" s="33" t="s">
        <v>943</v>
      </c>
    </row>
    <row r="78" spans="2:7">
      <c r="C78" s="33" t="s">
        <v>1147</v>
      </c>
    </row>
    <row r="79" spans="2:7">
      <c r="C79" s="33" t="s">
        <v>1149</v>
      </c>
    </row>
    <row r="80" spans="2:7">
      <c r="C80" s="33" t="s">
        <v>1150</v>
      </c>
    </row>
    <row r="81" spans="2:4">
      <c r="C81" s="33" t="s">
        <v>944</v>
      </c>
    </row>
    <row r="82" spans="2:4">
      <c r="C82" s="33" t="s">
        <v>1151</v>
      </c>
    </row>
    <row r="83" spans="2:4">
      <c r="C83" s="33" t="s">
        <v>151</v>
      </c>
    </row>
    <row r="84" spans="2:4">
      <c r="C84" s="33" t="s">
        <v>152</v>
      </c>
    </row>
    <row r="85" spans="2:4">
      <c r="C85" s="33" t="s">
        <v>547</v>
      </c>
    </row>
    <row r="86" spans="2:4">
      <c r="C86" s="33" t="s">
        <v>546</v>
      </c>
    </row>
    <row r="87" spans="2:4">
      <c r="D87" s="147" t="s">
        <v>698</v>
      </c>
    </row>
    <row r="88" spans="2:4">
      <c r="C88" s="33" t="s">
        <v>1148</v>
      </c>
    </row>
    <row r="90" spans="2:4">
      <c r="C90" s="1028" t="s">
        <v>599</v>
      </c>
    </row>
    <row r="91" spans="2:4">
      <c r="C91" s="33" t="s">
        <v>555</v>
      </c>
      <c r="D91" s="1069" t="s">
        <v>1521</v>
      </c>
    </row>
    <row r="92" spans="2:4">
      <c r="D92" s="1069" t="s">
        <v>1520</v>
      </c>
    </row>
    <row r="93" spans="2:4">
      <c r="C93" s="33" t="s">
        <v>555</v>
      </c>
      <c r="D93" s="85" t="s">
        <v>1145</v>
      </c>
    </row>
    <row r="94" spans="2:4">
      <c r="D94" s="33" t="s">
        <v>1144</v>
      </c>
    </row>
    <row r="95" spans="2:4">
      <c r="C95" s="33" t="s">
        <v>555</v>
      </c>
      <c r="D95" s="48" t="s">
        <v>150</v>
      </c>
    </row>
    <row r="96" spans="2:4" ht="18.600000000000001">
      <c r="B96" s="182"/>
      <c r="C96" s="1070" t="s">
        <v>1215</v>
      </c>
    </row>
    <row r="97" spans="2:21">
      <c r="C97" s="1069" t="s">
        <v>1216</v>
      </c>
    </row>
    <row r="98" spans="2:21">
      <c r="C98" s="1069"/>
    </row>
    <row r="100" spans="2:21">
      <c r="C100" s="26"/>
      <c r="D100" s="25"/>
      <c r="E100" s="25"/>
      <c r="F100" s="25"/>
      <c r="G100" s="25"/>
      <c r="H100" s="25"/>
      <c r="I100" s="25"/>
      <c r="J100" s="29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</row>
    <row r="101" spans="2:21" ht="18.600000000000001">
      <c r="C101" s="166" t="s">
        <v>382</v>
      </c>
      <c r="D101" s="165"/>
      <c r="F101" s="77" t="s">
        <v>96</v>
      </c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</row>
    <row r="102" spans="2:21">
      <c r="C102" s="29" t="s">
        <v>560</v>
      </c>
    </row>
    <row r="103" spans="2:21">
      <c r="C103" s="33" t="s">
        <v>321</v>
      </c>
    </row>
    <row r="104" spans="2:21">
      <c r="C104" s="85" t="s">
        <v>322</v>
      </c>
    </row>
    <row r="106" spans="2:21">
      <c r="C106" s="1" t="s">
        <v>97</v>
      </c>
    </row>
    <row r="107" spans="2:21" ht="15.6">
      <c r="H107" s="212" t="s">
        <v>945</v>
      </c>
      <c r="I107" s="212"/>
      <c r="J107" s="212"/>
      <c r="K107" s="212"/>
      <c r="L107" s="212"/>
    </row>
    <row r="108" spans="2:21">
      <c r="H108" s="48" t="s">
        <v>98</v>
      </c>
      <c r="O108" s="1029" t="s">
        <v>946</v>
      </c>
    </row>
    <row r="109" spans="2:21">
      <c r="C109" s="28" t="s">
        <v>99</v>
      </c>
      <c r="O109" s="177" t="s">
        <v>947</v>
      </c>
    </row>
    <row r="110" spans="2:21" ht="18.600000000000001">
      <c r="B110" s="89"/>
      <c r="D110" s="78" t="s">
        <v>100</v>
      </c>
      <c r="E110" s="48" t="s">
        <v>101</v>
      </c>
    </row>
    <row r="111" spans="2:21" ht="18.600000000000001">
      <c r="B111" s="89"/>
      <c r="D111" s="78" t="s">
        <v>100</v>
      </c>
      <c r="E111" s="48" t="s">
        <v>927</v>
      </c>
    </row>
    <row r="112" spans="2:21">
      <c r="D112" s="50"/>
      <c r="E112" s="48" t="s">
        <v>928</v>
      </c>
    </row>
    <row r="113" spans="2:22" ht="18.600000000000001">
      <c r="B113" s="89"/>
      <c r="D113" s="78" t="s">
        <v>100</v>
      </c>
      <c r="E113" s="48" t="s">
        <v>699</v>
      </c>
    </row>
    <row r="114" spans="2:22">
      <c r="D114" s="50"/>
      <c r="E114" s="85" t="s">
        <v>1133</v>
      </c>
    </row>
    <row r="115" spans="2:22" ht="18.600000000000001">
      <c r="B115" s="89"/>
      <c r="C115" s="48" t="s">
        <v>92</v>
      </c>
      <c r="D115" s="78" t="s">
        <v>100</v>
      </c>
      <c r="E115" s="48" t="s">
        <v>926</v>
      </c>
    </row>
    <row r="116" spans="2:22">
      <c r="C116" s="48" t="s">
        <v>92</v>
      </c>
      <c r="E116" s="48" t="s">
        <v>329</v>
      </c>
    </row>
    <row r="117" spans="2:22">
      <c r="C117" s="48" t="s">
        <v>92</v>
      </c>
      <c r="E117" s="48" t="s">
        <v>388</v>
      </c>
    </row>
    <row r="118" spans="2:22">
      <c r="C118" s="26" t="s">
        <v>92</v>
      </c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</row>
    <row r="119" spans="2:22">
      <c r="B119" s="102">
        <f>1+B23</f>
        <v>2</v>
      </c>
      <c r="C119" s="103" t="str">
        <f>"Übersicht "&amp;FIXED(B119,0)&amp;":"</f>
        <v>Übersicht 2:</v>
      </c>
      <c r="D119" s="25"/>
      <c r="E119" s="25"/>
      <c r="F119"/>
      <c r="G119" s="104" t="s">
        <v>389</v>
      </c>
      <c r="H119"/>
      <c r="I119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</row>
    <row r="120" spans="2:22"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</row>
    <row r="121" spans="2:22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 s="27" t="s">
        <v>92</v>
      </c>
    </row>
    <row r="122" spans="2:22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 s="25"/>
    </row>
    <row r="123" spans="2:22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 s="25" t="s">
        <v>92</v>
      </c>
    </row>
    <row r="124" spans="2:22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 s="25"/>
    </row>
    <row r="125" spans="2:22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 s="25"/>
    </row>
    <row r="126" spans="2:22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 s="25"/>
    </row>
    <row r="127" spans="2:22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 s="25"/>
      <c r="S127" s="203"/>
      <c r="T127" s="192"/>
      <c r="U127" s="192"/>
      <c r="V127" s="192"/>
    </row>
    <row r="128" spans="2:22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 s="25"/>
      <c r="S128" s="25"/>
      <c r="T128" s="25"/>
      <c r="U128" s="25"/>
    </row>
    <row r="129" spans="3:21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 s="25"/>
      <c r="S129" s="25"/>
      <c r="T129" s="25"/>
      <c r="U129" s="25"/>
    </row>
    <row r="130" spans="3:21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 s="25"/>
      <c r="S130" s="25"/>
      <c r="T130" s="25"/>
      <c r="U130" s="25"/>
    </row>
    <row r="131" spans="3:21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T131" s="25"/>
      <c r="U131" s="25"/>
    </row>
    <row r="132" spans="3:21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T132" s="25"/>
      <c r="U132" s="25"/>
    </row>
    <row r="133" spans="3:21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T133" s="25"/>
      <c r="U133" s="25"/>
    </row>
    <row r="134" spans="3:21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T134" s="25"/>
      <c r="U134" s="25"/>
    </row>
    <row r="135" spans="3:21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T135" s="25"/>
      <c r="U135" s="25"/>
    </row>
    <row r="136" spans="3:21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T136" s="25"/>
      <c r="U136" s="25"/>
    </row>
    <row r="137" spans="3:21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T137" s="25"/>
      <c r="U137" s="25"/>
    </row>
    <row r="138" spans="3:21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T138" s="25"/>
      <c r="U138" s="25"/>
    </row>
    <row r="139" spans="3:21">
      <c r="C139" s="25"/>
      <c r="D139" s="48"/>
      <c r="E139" s="192"/>
      <c r="F139" s="192"/>
      <c r="G139" s="192"/>
      <c r="H139" s="192"/>
      <c r="I139" s="192"/>
      <c r="J139" s="192"/>
      <c r="K139" s="195" t="s">
        <v>272</v>
      </c>
      <c r="L139" s="195" t="s">
        <v>1129</v>
      </c>
      <c r="M139" s="180" t="s">
        <v>453</v>
      </c>
      <c r="N139" s="180" t="s">
        <v>452</v>
      </c>
      <c r="O139" s="192"/>
      <c r="P139" s="25"/>
      <c r="Q139" s="25"/>
      <c r="R139" s="25"/>
      <c r="S139" s="25"/>
      <c r="T139" s="25"/>
      <c r="U139" s="25"/>
    </row>
    <row r="140" spans="3:21">
      <c r="C140" s="25"/>
      <c r="D140" s="48"/>
      <c r="E140" s="192"/>
      <c r="F140" s="192"/>
      <c r="G140" s="192"/>
      <c r="H140" s="192"/>
      <c r="I140" s="192"/>
      <c r="J140" s="192"/>
      <c r="K140" s="189"/>
      <c r="L140" s="189" t="s">
        <v>1130</v>
      </c>
      <c r="M140" s="189" t="s">
        <v>549</v>
      </c>
      <c r="N140" s="189" t="s">
        <v>549</v>
      </c>
      <c r="O140" s="192"/>
      <c r="P140" s="25"/>
      <c r="Q140" s="25"/>
      <c r="R140" s="25"/>
      <c r="S140" s="25"/>
      <c r="T140" s="25"/>
      <c r="U140" s="25"/>
    </row>
    <row r="141" spans="3:21">
      <c r="C141" s="25"/>
      <c r="D141" s="48"/>
      <c r="E141" s="192"/>
      <c r="F141" s="192" t="s">
        <v>1160</v>
      </c>
      <c r="G141" s="192"/>
      <c r="H141" s="192"/>
      <c r="I141" s="193">
        <v>100000</v>
      </c>
      <c r="J141" s="192"/>
      <c r="K141" s="203">
        <v>1</v>
      </c>
      <c r="L141" s="193">
        <f>I141-M141</f>
        <v>80000</v>
      </c>
      <c r="M141" s="193">
        <f>$I$142*$I$141</f>
        <v>20000</v>
      </c>
      <c r="N141" s="193"/>
      <c r="O141" s="192"/>
      <c r="P141" s="25"/>
      <c r="Q141" s="25"/>
      <c r="R141" s="25"/>
      <c r="S141" s="25"/>
      <c r="T141" s="25"/>
      <c r="U141" s="25"/>
    </row>
    <row r="142" spans="3:21">
      <c r="C142" s="25"/>
      <c r="D142" s="48"/>
      <c r="E142" s="192"/>
      <c r="F142" s="192" t="s">
        <v>204</v>
      </c>
      <c r="G142" s="192"/>
      <c r="H142" s="192"/>
      <c r="I142" s="196">
        <v>0.2</v>
      </c>
      <c r="J142" s="192"/>
      <c r="K142" s="203">
        <f>K141+1</f>
        <v>2</v>
      </c>
      <c r="L142" s="193">
        <f>L141-M142</f>
        <v>60000</v>
      </c>
      <c r="M142" s="193">
        <f>$I$142*$I$141</f>
        <v>20000</v>
      </c>
      <c r="N142" s="193">
        <f>M142+N141</f>
        <v>20000</v>
      </c>
      <c r="O142" s="192"/>
      <c r="P142" s="25"/>
      <c r="Q142" s="25"/>
      <c r="R142" s="25"/>
      <c r="S142" s="25"/>
      <c r="T142" s="25"/>
      <c r="U142" s="25"/>
    </row>
    <row r="143" spans="3:21">
      <c r="C143" s="25"/>
      <c r="D143" s="48"/>
      <c r="E143" s="192"/>
      <c r="F143" s="192" t="s">
        <v>205</v>
      </c>
      <c r="G143" s="192"/>
      <c r="H143" s="192"/>
      <c r="I143" s="193">
        <f>I141*I142</f>
        <v>20000</v>
      </c>
      <c r="J143" s="192"/>
      <c r="K143" s="203">
        <f>K142+1</f>
        <v>3</v>
      </c>
      <c r="L143" s="193">
        <f>L142-M143</f>
        <v>40000</v>
      </c>
      <c r="M143" s="193">
        <f>$I$142*$I$141</f>
        <v>20000</v>
      </c>
      <c r="N143" s="193">
        <f>M143+N142</f>
        <v>40000</v>
      </c>
      <c r="O143" s="192"/>
      <c r="P143" s="25"/>
      <c r="Q143" s="25"/>
      <c r="R143" s="25"/>
      <c r="S143" s="25"/>
      <c r="T143" s="25"/>
      <c r="U143" s="25"/>
    </row>
    <row r="144" spans="3:21">
      <c r="C144" s="25"/>
      <c r="D144" s="48"/>
      <c r="E144" s="192"/>
      <c r="F144" s="192"/>
      <c r="G144" s="192"/>
      <c r="H144" s="192"/>
      <c r="I144" s="192"/>
      <c r="J144" s="192"/>
      <c r="K144" s="203">
        <f>K143+1</f>
        <v>4</v>
      </c>
      <c r="L144" s="193">
        <f>L143-M144</f>
        <v>20000</v>
      </c>
      <c r="M144" s="193">
        <f>$I$142*$I$141</f>
        <v>20000</v>
      </c>
      <c r="N144" s="193">
        <f>M144+N143</f>
        <v>60000</v>
      </c>
      <c r="O144" s="192"/>
      <c r="P144" s="25"/>
      <c r="Q144" s="25"/>
      <c r="R144" s="25"/>
      <c r="S144" s="25"/>
      <c r="T144" s="25"/>
      <c r="U144" s="25"/>
    </row>
    <row r="145" spans="2:21">
      <c r="C145" s="25"/>
      <c r="D145" s="48"/>
      <c r="E145" s="192"/>
      <c r="F145" s="192" t="s">
        <v>209</v>
      </c>
      <c r="G145" s="192"/>
      <c r="H145" s="192"/>
      <c r="I145" s="193">
        <f>AVERAGE(L141:L145,I141)</f>
        <v>50000</v>
      </c>
      <c r="J145" s="192"/>
      <c r="K145" s="229">
        <f>K144+1</f>
        <v>5</v>
      </c>
      <c r="L145" s="230">
        <f>L144-M145</f>
        <v>0</v>
      </c>
      <c r="M145" s="230">
        <f>$I$142*$I$141</f>
        <v>20000</v>
      </c>
      <c r="N145" s="230">
        <f>M145+N144</f>
        <v>80000</v>
      </c>
      <c r="O145" s="192"/>
      <c r="P145" s="25"/>
      <c r="Q145" s="25"/>
      <c r="R145" s="25"/>
      <c r="S145" s="25"/>
      <c r="T145" s="25"/>
      <c r="U145" s="25"/>
    </row>
    <row r="146" spans="2:21">
      <c r="C146" s="25"/>
      <c r="D146" s="48"/>
      <c r="E146" s="25"/>
      <c r="F146" s="25"/>
      <c r="G146" s="25"/>
      <c r="H146" s="25"/>
      <c r="I146" s="25"/>
      <c r="J146" s="25"/>
      <c r="K146" s="25"/>
      <c r="L146" s="192"/>
      <c r="M146" s="25"/>
      <c r="N146" s="25"/>
      <c r="O146" s="25"/>
      <c r="P146" s="25"/>
      <c r="Q146" s="25"/>
      <c r="R146" s="25"/>
      <c r="S146" s="25"/>
      <c r="T146" s="25"/>
      <c r="U146" s="25"/>
    </row>
    <row r="147" spans="2:21">
      <c r="C147" s="25"/>
      <c r="D147" s="48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</row>
    <row r="148" spans="2:21" ht="18.600000000000001">
      <c r="C148" s="166" t="s">
        <v>383</v>
      </c>
      <c r="D148" s="165"/>
      <c r="F148" s="77" t="s">
        <v>393</v>
      </c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</row>
    <row r="149" spans="2:21">
      <c r="C149" s="85" t="s">
        <v>323</v>
      </c>
      <c r="D149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</row>
    <row r="150" spans="2:21">
      <c r="C150" s="85" t="s">
        <v>324</v>
      </c>
      <c r="D150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</row>
    <row r="151" spans="2:21">
      <c r="C151" s="36" t="s">
        <v>394</v>
      </c>
      <c r="D151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</row>
    <row r="152" spans="2:21">
      <c r="C152" s="36" t="s">
        <v>395</v>
      </c>
      <c r="D152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</row>
    <row r="153" spans="2:21">
      <c r="C153" s="107" t="s">
        <v>396</v>
      </c>
      <c r="D153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</row>
    <row r="154" spans="2:21">
      <c r="C154" s="36" t="s">
        <v>601</v>
      </c>
      <c r="D154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</row>
    <row r="155" spans="2:21">
      <c r="C155" s="36" t="s">
        <v>397</v>
      </c>
      <c r="D15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</row>
    <row r="156" spans="2:21">
      <c r="B156" s="35"/>
      <c r="C156" s="36" t="s">
        <v>398</v>
      </c>
      <c r="D156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</row>
    <row r="157" spans="2:21">
      <c r="B157" s="35"/>
      <c r="C157" s="37" t="s">
        <v>480</v>
      </c>
      <c r="D157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</row>
    <row r="158" spans="2:21">
      <c r="B158" s="35"/>
      <c r="C158" s="33" t="s">
        <v>481</v>
      </c>
      <c r="D158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</row>
    <row r="159" spans="2:21">
      <c r="B159" s="35"/>
      <c r="C159" s="37" t="s">
        <v>482</v>
      </c>
      <c r="D159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</row>
    <row r="160" spans="2:21">
      <c r="B160" s="35"/>
      <c r="C160" s="37" t="s">
        <v>483</v>
      </c>
      <c r="D160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</row>
    <row r="161" spans="2:17">
      <c r="B161" s="35"/>
      <c r="C161" s="37"/>
      <c r="D161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</row>
    <row r="162" spans="2:17">
      <c r="B162" s="105">
        <f>1+B119</f>
        <v>3</v>
      </c>
      <c r="C162" s="103" t="str">
        <f>"Übersicht "&amp;FIXED(B162,0)&amp;":"</f>
        <v>Übersicht 3:</v>
      </c>
      <c r="G162" s="91" t="s">
        <v>454</v>
      </c>
      <c r="H162"/>
      <c r="I162" s="35"/>
      <c r="J162" s="35"/>
      <c r="K162" s="35"/>
      <c r="L162" s="35"/>
      <c r="M162" s="35"/>
      <c r="N162" s="35"/>
      <c r="O162" s="35"/>
      <c r="P162" s="35"/>
      <c r="Q162" s="35"/>
    </row>
    <row r="163" spans="2:17">
      <c r="B163"/>
      <c r="C163"/>
      <c r="D163"/>
      <c r="E163"/>
      <c r="F163"/>
      <c r="G163"/>
      <c r="H163"/>
      <c r="I163" s="35"/>
      <c r="J163" s="35"/>
      <c r="K163" s="35"/>
      <c r="L163" s="35"/>
      <c r="M163" s="35"/>
      <c r="N163" s="35"/>
      <c r="O163" s="35"/>
      <c r="P163" s="35"/>
      <c r="Q163" s="35"/>
    </row>
    <row r="164" spans="2:17">
      <c r="B164" s="35"/>
      <c r="C164" s="36"/>
      <c r="D164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</row>
    <row r="165" spans="2:17">
      <c r="B165" s="35"/>
      <c r="C165" s="36"/>
      <c r="D16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</row>
    <row r="166" spans="2:17">
      <c r="B166" s="35"/>
      <c r="C166" s="36"/>
      <c r="D166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</row>
    <row r="167" spans="2:17">
      <c r="B167" s="35"/>
      <c r="C167" s="36"/>
      <c r="D167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</row>
    <row r="168" spans="2:17">
      <c r="B168" s="35"/>
      <c r="C168" s="36"/>
      <c r="D168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</row>
    <row r="169" spans="2:17">
      <c r="B169" s="35"/>
      <c r="C169" s="36"/>
      <c r="D169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</row>
    <row r="170" spans="2:17">
      <c r="B170" s="35"/>
      <c r="C170" s="36"/>
      <c r="D170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</row>
    <row r="171" spans="2:17">
      <c r="B171" s="35"/>
      <c r="C171" s="36"/>
      <c r="D171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</row>
    <row r="172" spans="2:17">
      <c r="B172" s="35"/>
      <c r="C172" s="36"/>
      <c r="D172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</row>
    <row r="173" spans="2:17">
      <c r="B173" s="35"/>
      <c r="C173" s="36"/>
      <c r="D173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</row>
    <row r="174" spans="2:17">
      <c r="B174" s="35"/>
      <c r="C174" s="36"/>
      <c r="D174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</row>
    <row r="175" spans="2:17">
      <c r="B175" s="35"/>
      <c r="C175" s="36"/>
      <c r="D17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</row>
    <row r="176" spans="2:17">
      <c r="B176" s="35"/>
      <c r="C176" s="36"/>
      <c r="D176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</row>
    <row r="177" spans="2:17">
      <c r="B177" s="35"/>
      <c r="C177" s="36"/>
      <c r="D177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</row>
    <row r="178" spans="2:17">
      <c r="B178" s="35"/>
      <c r="C178" s="36"/>
      <c r="D178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</row>
    <row r="179" spans="2:17">
      <c r="B179" s="35"/>
      <c r="C179" s="37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</row>
    <row r="180" spans="2:17">
      <c r="B180" s="35"/>
      <c r="C180" s="37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</row>
    <row r="181" spans="2:17">
      <c r="B181" s="35"/>
      <c r="C181" s="37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</row>
    <row r="182" spans="2:17" ht="15">
      <c r="B182" s="35"/>
      <c r="C182" s="37" t="s">
        <v>456</v>
      </c>
      <c r="D182"/>
      <c r="E182" s="35"/>
      <c r="F182" s="35"/>
      <c r="G182" s="35"/>
      <c r="I182" s="35"/>
      <c r="J182" s="35"/>
      <c r="K182" s="35"/>
      <c r="L182" s="35"/>
      <c r="N182" s="35"/>
      <c r="P182" s="321" t="s">
        <v>464</v>
      </c>
    </row>
    <row r="183" spans="2:17">
      <c r="B183" s="35"/>
      <c r="D183" s="37" t="s">
        <v>458</v>
      </c>
      <c r="E183" s="35"/>
      <c r="F183" s="35"/>
      <c r="G183" s="35"/>
      <c r="I183" s="35"/>
      <c r="J183" s="35"/>
      <c r="K183" s="35"/>
      <c r="L183" s="35"/>
      <c r="N183" s="35"/>
      <c r="P183" s="320" t="s">
        <v>455</v>
      </c>
    </row>
    <row r="184" spans="2:17" ht="15">
      <c r="B184" s="35"/>
      <c r="C184" s="37" t="s">
        <v>457</v>
      </c>
      <c r="D184"/>
      <c r="E184" s="35"/>
      <c r="F184" s="35"/>
      <c r="G184" s="35"/>
      <c r="I184" s="35"/>
      <c r="J184" s="35"/>
      <c r="K184" s="35"/>
      <c r="L184" s="35"/>
      <c r="N184" s="35"/>
      <c r="P184" s="321" t="s">
        <v>465</v>
      </c>
    </row>
    <row r="185" spans="2:17">
      <c r="B185" s="35"/>
      <c r="D185" s="9" t="s">
        <v>948</v>
      </c>
      <c r="E185" s="35"/>
      <c r="F185" s="35"/>
      <c r="G185" s="35"/>
      <c r="H185" s="35"/>
      <c r="I185" s="35"/>
      <c r="J185" s="35"/>
      <c r="K185" s="35"/>
      <c r="M185" s="204">
        <f>I211</f>
        <v>0.26379748079474541</v>
      </c>
      <c r="O185" s="35"/>
      <c r="Q185" s="35"/>
    </row>
    <row r="186" spans="2:17">
      <c r="B186" s="35"/>
      <c r="C186" s="37"/>
      <c r="D186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</row>
    <row r="187" spans="2:17">
      <c r="B187" s="35"/>
      <c r="C187" s="37" t="s">
        <v>459</v>
      </c>
      <c r="D187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</row>
    <row r="188" spans="2:17">
      <c r="B188" s="35"/>
      <c r="C188" s="37" t="s">
        <v>460</v>
      </c>
      <c r="D188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</row>
    <row r="189" spans="2:17">
      <c r="B189" s="35"/>
      <c r="C189" s="37" t="s">
        <v>461</v>
      </c>
      <c r="D189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</row>
    <row r="190" spans="2:17">
      <c r="B190" s="35"/>
      <c r="D190" s="9" t="s">
        <v>469</v>
      </c>
      <c r="E190" s="12"/>
      <c r="F190" s="12"/>
      <c r="G190" s="12"/>
      <c r="H190" s="12"/>
      <c r="I190" s="12"/>
      <c r="J190" s="12"/>
      <c r="M190" s="12">
        <f>M185</f>
        <v>0.26379748079474541</v>
      </c>
      <c r="N190" s="12" t="s">
        <v>466</v>
      </c>
      <c r="O190" s="12"/>
      <c r="P190" s="664">
        <f>M190*100000</f>
        <v>26379.748079474542</v>
      </c>
      <c r="Q190" s="12"/>
    </row>
    <row r="191" spans="2:17">
      <c r="B191" s="35"/>
      <c r="C191" s="37"/>
      <c r="D191"/>
      <c r="E191" s="35"/>
      <c r="F191" s="35"/>
      <c r="G191" s="35"/>
      <c r="H191" s="35"/>
      <c r="I191" s="35"/>
      <c r="J191" s="35"/>
      <c r="M191" s="35"/>
      <c r="N191" s="35"/>
      <c r="O191" s="35"/>
      <c r="P191" s="35"/>
      <c r="Q191" s="35"/>
    </row>
    <row r="192" spans="2:17">
      <c r="B192" s="35"/>
      <c r="C192" s="37" t="s">
        <v>463</v>
      </c>
      <c r="D192"/>
      <c r="E192" s="35"/>
      <c r="F192" s="35"/>
      <c r="G192" s="35"/>
      <c r="H192" s="35"/>
      <c r="I192" s="35"/>
      <c r="J192" s="35"/>
      <c r="M192" s="35"/>
      <c r="N192" s="35"/>
      <c r="O192" s="35"/>
      <c r="P192" s="35"/>
      <c r="Q192" s="35"/>
    </row>
    <row r="193" spans="2:17">
      <c r="B193" s="35"/>
      <c r="C193" s="37" t="s">
        <v>467</v>
      </c>
      <c r="D193"/>
      <c r="E193" s="35"/>
      <c r="F193" s="35"/>
      <c r="G193" s="35"/>
      <c r="H193" s="35"/>
      <c r="I193" s="35"/>
      <c r="J193" s="35"/>
      <c r="M193" s="35"/>
      <c r="N193" s="35"/>
      <c r="O193" s="35"/>
      <c r="P193" s="35"/>
      <c r="Q193" s="35"/>
    </row>
    <row r="194" spans="2:17">
      <c r="B194" s="35"/>
      <c r="D194" s="9" t="s">
        <v>468</v>
      </c>
      <c r="E194" s="35"/>
      <c r="F194" s="35"/>
      <c r="G194" s="35"/>
      <c r="H194" s="35"/>
      <c r="I194" s="35"/>
      <c r="J194" s="35"/>
      <c r="M194" s="206">
        <f>I210</f>
        <v>0.1</v>
      </c>
      <c r="N194" s="12" t="s">
        <v>466</v>
      </c>
      <c r="O194" s="12"/>
      <c r="P194" s="664">
        <f>M194*100000</f>
        <v>10000</v>
      </c>
      <c r="Q194" s="35"/>
    </row>
    <row r="195" spans="2:17">
      <c r="B195" s="35"/>
      <c r="C195" s="37"/>
      <c r="D19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</row>
    <row r="196" spans="2:17">
      <c r="B196" s="35"/>
      <c r="C196" s="37" t="s">
        <v>462</v>
      </c>
      <c r="D196"/>
      <c r="E196" s="35"/>
      <c r="F196" s="35"/>
      <c r="G196" s="35"/>
      <c r="H196" s="35"/>
      <c r="I196" s="35"/>
      <c r="J196" s="35"/>
      <c r="K196" s="205"/>
      <c r="L196" s="35"/>
      <c r="M196" s="35"/>
      <c r="N196" s="35"/>
      <c r="O196" s="35"/>
      <c r="P196" s="35"/>
      <c r="Q196" s="35"/>
    </row>
    <row r="197" spans="2:17">
      <c r="B197" s="35"/>
      <c r="C197" s="37" t="s">
        <v>470</v>
      </c>
      <c r="D197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</row>
    <row r="198" spans="2:17">
      <c r="B198" s="35"/>
      <c r="D198" s="9" t="s">
        <v>471</v>
      </c>
      <c r="E198" s="35"/>
      <c r="F198" s="35"/>
      <c r="G198" s="35"/>
      <c r="H198" s="35"/>
      <c r="I198" s="35"/>
      <c r="J198" s="35"/>
      <c r="L198" s="209">
        <f>P190</f>
        <v>26379.748079474542</v>
      </c>
      <c r="M198" s="210" t="s">
        <v>472</v>
      </c>
      <c r="N198" s="208">
        <f>P194</f>
        <v>10000</v>
      </c>
      <c r="O198" s="207" t="s">
        <v>63</v>
      </c>
      <c r="P198" s="664">
        <f>L198-N198</f>
        <v>16379.748079474542</v>
      </c>
      <c r="Q198" s="35"/>
    </row>
    <row r="199" spans="2:17">
      <c r="B199" s="35"/>
      <c r="C199" s="37"/>
      <c r="D199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</row>
    <row r="200" spans="2:17">
      <c r="B200" s="35"/>
      <c r="C200" s="37" t="s">
        <v>474</v>
      </c>
      <c r="D200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</row>
    <row r="201" spans="2:17">
      <c r="B201" s="35"/>
      <c r="D201" s="9" t="s">
        <v>473</v>
      </c>
      <c r="E201" s="35"/>
      <c r="F201" s="35"/>
      <c r="G201" s="35"/>
      <c r="H201" s="35"/>
      <c r="I201" s="35"/>
      <c r="J201" s="35"/>
      <c r="L201" s="209">
        <f>I209</f>
        <v>100000</v>
      </c>
      <c r="M201" s="210" t="s">
        <v>472</v>
      </c>
      <c r="N201" s="208">
        <f>P198</f>
        <v>16379.748079474542</v>
      </c>
      <c r="O201" s="207" t="s">
        <v>63</v>
      </c>
      <c r="P201" s="664">
        <f>L201-N201</f>
        <v>83620.25192052545</v>
      </c>
      <c r="Q201" s="35"/>
    </row>
    <row r="202" spans="2:17">
      <c r="B202" s="35"/>
      <c r="C202" s="37"/>
      <c r="D202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</row>
    <row r="203" spans="2:17">
      <c r="B203" s="35"/>
      <c r="C203" s="37" t="s">
        <v>475</v>
      </c>
      <c r="D203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</row>
    <row r="204" spans="2:17">
      <c r="B204" s="35"/>
      <c r="C204" s="37" t="s">
        <v>476</v>
      </c>
      <c r="D204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</row>
    <row r="205" spans="2:17">
      <c r="B205" s="35"/>
      <c r="C205" s="37" t="s">
        <v>477</v>
      </c>
      <c r="D20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</row>
    <row r="206" spans="2:17">
      <c r="B206" s="35"/>
      <c r="C206" s="37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</row>
    <row r="207" spans="2:17">
      <c r="B207" s="35"/>
      <c r="C207" s="37"/>
      <c r="D207" s="12"/>
      <c r="E207" s="12"/>
      <c r="F207" s="192"/>
      <c r="G207" s="192"/>
      <c r="H207" s="192"/>
      <c r="I207" s="192"/>
      <c r="J207" s="192"/>
      <c r="L207" s="180" t="s">
        <v>272</v>
      </c>
      <c r="M207" s="180" t="s">
        <v>1129</v>
      </c>
      <c r="N207" s="180" t="s">
        <v>478</v>
      </c>
      <c r="O207" s="180" t="s">
        <v>453</v>
      </c>
      <c r="P207" s="180" t="s">
        <v>452</v>
      </c>
    </row>
    <row r="208" spans="2:17">
      <c r="B208" s="35"/>
      <c r="C208" s="37"/>
      <c r="D208" s="12"/>
      <c r="E208" s="12"/>
      <c r="F208" s="192"/>
      <c r="G208" s="192"/>
      <c r="H208" s="192"/>
      <c r="I208" s="192"/>
      <c r="J208" s="192"/>
      <c r="L208" s="189"/>
      <c r="M208" s="189" t="s">
        <v>1130</v>
      </c>
      <c r="N208" s="189" t="s">
        <v>479</v>
      </c>
      <c r="O208" s="189" t="s">
        <v>549</v>
      </c>
      <c r="P208" s="189" t="s">
        <v>549</v>
      </c>
    </row>
    <row r="209" spans="2:21">
      <c r="B209" s="35"/>
      <c r="C209" s="37"/>
      <c r="D209" s="12"/>
      <c r="E209" s="12"/>
      <c r="F209" s="192" t="s">
        <v>1160</v>
      </c>
      <c r="G209" s="192"/>
      <c r="H209" s="192"/>
      <c r="I209" s="193">
        <v>100000</v>
      </c>
      <c r="J209" s="192"/>
      <c r="L209" s="192">
        <v>1</v>
      </c>
      <c r="M209" s="193">
        <f>I209-O209</f>
        <v>83620.25192052545</v>
      </c>
      <c r="N209" s="193">
        <f>I209*$I$210</f>
        <v>10000</v>
      </c>
      <c r="O209" s="193">
        <f>$I$212-N209</f>
        <v>16379.748079474542</v>
      </c>
      <c r="P209" s="192">
        <v>0</v>
      </c>
    </row>
    <row r="210" spans="2:21">
      <c r="B210" s="35"/>
      <c r="C210" s="37"/>
      <c r="D210" s="12"/>
      <c r="E210" s="12"/>
      <c r="F210" s="192" t="s">
        <v>450</v>
      </c>
      <c r="G210" s="192"/>
      <c r="H210" s="192"/>
      <c r="I210" s="196">
        <v>0.1</v>
      </c>
      <c r="J210" s="192"/>
      <c r="L210" s="192">
        <v>2</v>
      </c>
      <c r="M210" s="193">
        <f>M209-O210</f>
        <v>65602.529033103463</v>
      </c>
      <c r="N210" s="193">
        <f>M209*$I$210</f>
        <v>8362.0251920525461</v>
      </c>
      <c r="O210" s="193">
        <f>$I$212-N210</f>
        <v>18017.722887421995</v>
      </c>
      <c r="P210" s="193">
        <f>P209+O209</f>
        <v>16379.748079474542</v>
      </c>
    </row>
    <row r="211" spans="2:21">
      <c r="B211" s="35"/>
      <c r="C211" s="37"/>
      <c r="D211" s="12"/>
      <c r="E211" s="12"/>
      <c r="F211" s="192" t="s">
        <v>451</v>
      </c>
      <c r="G211" s="192"/>
      <c r="H211" s="192"/>
      <c r="I211" s="192">
        <f>PMT(I210,L213,-1)</f>
        <v>0.26379748079474541</v>
      </c>
      <c r="J211" s="192"/>
      <c r="L211" s="192">
        <v>3</v>
      </c>
      <c r="M211" s="193">
        <f>M210-O211</f>
        <v>45783.033856939262</v>
      </c>
      <c r="N211" s="193">
        <f>M210*$I$210</f>
        <v>6560.2529033103465</v>
      </c>
      <c r="O211" s="193">
        <f>$I$212-N211</f>
        <v>19819.495176164197</v>
      </c>
      <c r="P211" s="193">
        <f>P210+O210</f>
        <v>34397.470966896537</v>
      </c>
    </row>
    <row r="212" spans="2:21">
      <c r="B212" s="35"/>
      <c r="C212" s="37"/>
      <c r="D212" s="12"/>
      <c r="E212" s="12"/>
      <c r="F212" s="192" t="s">
        <v>1116</v>
      </c>
      <c r="G212" s="192"/>
      <c r="H212" s="192"/>
      <c r="I212" s="193">
        <f>I211*I209</f>
        <v>26379.748079474542</v>
      </c>
      <c r="J212" s="192"/>
      <c r="L212" s="192">
        <v>4</v>
      </c>
      <c r="M212" s="193">
        <f>M211-O212</f>
        <v>23981.589163158646</v>
      </c>
      <c r="N212" s="193">
        <f>M211*$I$210</f>
        <v>4578.3033856939264</v>
      </c>
      <c r="O212" s="193">
        <f>$I$212-N212</f>
        <v>21801.444693780617</v>
      </c>
      <c r="P212" s="193">
        <f>P211+O211</f>
        <v>54216.966143060738</v>
      </c>
    </row>
    <row r="213" spans="2:21">
      <c r="B213" s="35"/>
      <c r="C213" s="37"/>
      <c r="D213" s="12"/>
      <c r="E213" s="12"/>
      <c r="F213" s="192" t="s">
        <v>209</v>
      </c>
      <c r="G213" s="192"/>
      <c r="H213" s="192"/>
      <c r="I213" s="193">
        <f>AVERAGE(M209:M213,I209)</f>
        <v>53164.567328954465</v>
      </c>
      <c r="J213" s="192"/>
      <c r="L213" s="192">
        <v>5</v>
      </c>
      <c r="M213" s="193">
        <f>M212-O213</f>
        <v>-3.2741809263825417E-11</v>
      </c>
      <c r="N213" s="193">
        <f>M212*$I$210</f>
        <v>2398.1589163158646</v>
      </c>
      <c r="O213" s="193">
        <f>$I$212-N213</f>
        <v>23981.589163158678</v>
      </c>
      <c r="P213" s="193">
        <f>P212+O212</f>
        <v>76018.410836841358</v>
      </c>
    </row>
    <row r="214" spans="2:21">
      <c r="B214" s="35"/>
      <c r="C214" s="37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</row>
    <row r="215" spans="2:21">
      <c r="B215" s="35"/>
      <c r="C215" s="37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</row>
    <row r="216" spans="2:21" ht="18.600000000000001">
      <c r="C216" s="166" t="s">
        <v>384</v>
      </c>
      <c r="D216" s="165"/>
      <c r="F216" s="77" t="s">
        <v>399</v>
      </c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</row>
    <row r="217" spans="2:21">
      <c r="B217" s="35"/>
      <c r="C217" s="85" t="s">
        <v>325</v>
      </c>
      <c r="D217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</row>
    <row r="218" spans="2:21">
      <c r="B218" s="35"/>
      <c r="C218" s="85" t="s">
        <v>326</v>
      </c>
      <c r="D218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</row>
    <row r="219" spans="2:21">
      <c r="B219" s="35"/>
      <c r="C219" s="37" t="s">
        <v>330</v>
      </c>
      <c r="D219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</row>
    <row r="220" spans="2:21">
      <c r="B220" s="35"/>
      <c r="C220" s="36" t="s">
        <v>333</v>
      </c>
      <c r="D220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</row>
    <row r="221" spans="2:21">
      <c r="B221" s="35"/>
      <c r="C221" s="37" t="s">
        <v>400</v>
      </c>
      <c r="D221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</row>
    <row r="222" spans="2:21">
      <c r="B222" s="35"/>
      <c r="C222" s="37" t="s">
        <v>401</v>
      </c>
      <c r="D222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</row>
    <row r="223" spans="2:21">
      <c r="C223" s="37"/>
    </row>
    <row r="224" spans="2:21">
      <c r="C224" s="197" t="s">
        <v>562</v>
      </c>
    </row>
    <row r="225" spans="2:19">
      <c r="C225" s="37" t="s">
        <v>561</v>
      </c>
    </row>
    <row r="226" spans="2:19">
      <c r="C226" s="33" t="s">
        <v>831</v>
      </c>
    </row>
    <row r="227" spans="2:19">
      <c r="C227" s="33" t="s">
        <v>829</v>
      </c>
    </row>
    <row r="228" spans="2:19">
      <c r="C228" s="33" t="s">
        <v>830</v>
      </c>
    </row>
    <row r="229" spans="2:19">
      <c r="C229" s="33" t="s">
        <v>949</v>
      </c>
    </row>
    <row r="230" spans="2:19">
      <c r="C230" s="33" t="s">
        <v>832</v>
      </c>
    </row>
    <row r="231" spans="2:19" ht="18.600000000000001">
      <c r="B231" s="182"/>
      <c r="C231" s="33" t="s">
        <v>700</v>
      </c>
    </row>
    <row r="232" spans="2:19">
      <c r="C232" s="33" t="s">
        <v>833</v>
      </c>
    </row>
    <row r="233" spans="2:19">
      <c r="C233" s="33" t="s">
        <v>199</v>
      </c>
    </row>
    <row r="234" spans="2:19">
      <c r="L234" s="192" t="s">
        <v>197</v>
      </c>
    </row>
    <row r="235" spans="2:19">
      <c r="L235" s="192" t="s">
        <v>198</v>
      </c>
    </row>
    <row r="236" spans="2:19">
      <c r="L236" s="192" t="s">
        <v>979</v>
      </c>
    </row>
    <row r="238" spans="2:19">
      <c r="B238" s="105">
        <f>1+B162</f>
        <v>4</v>
      </c>
      <c r="C238" s="103" t="str">
        <f>"Übersicht "&amp;FIXED(B238,0)&amp;":"</f>
        <v>Übersicht 4:</v>
      </c>
      <c r="D238" s="35"/>
      <c r="E238"/>
      <c r="F238"/>
      <c r="G238" s="92" t="s">
        <v>402</v>
      </c>
      <c r="H238"/>
      <c r="I238" s="35"/>
      <c r="J238" s="35"/>
      <c r="K238" s="35"/>
      <c r="L238" s="35"/>
      <c r="M238" s="35"/>
      <c r="N238" s="35"/>
      <c r="O238" s="35"/>
      <c r="P238" s="35"/>
      <c r="Q238" s="35"/>
    </row>
    <row r="239" spans="2:19">
      <c r="S239"/>
    </row>
    <row r="240" spans="2:19">
      <c r="B240" s="35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</row>
    <row r="241" spans="2:17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</row>
    <row r="242" spans="2:17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</row>
    <row r="243" spans="2:17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</row>
    <row r="244" spans="2:17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</row>
    <row r="245" spans="2:17">
      <c r="B245" s="12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</row>
    <row r="246" spans="2:17">
      <c r="B246" s="35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</row>
    <row r="247" spans="2:17">
      <c r="B247" s="35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</row>
    <row r="248" spans="2:17">
      <c r="B248" s="35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</row>
    <row r="249" spans="2:17">
      <c r="B249" s="35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</row>
    <row r="250" spans="2:17">
      <c r="B250" s="35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</row>
    <row r="251" spans="2:17">
      <c r="B251" s="35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</row>
    <row r="252" spans="2:17"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</row>
    <row r="253" spans="2:17"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</row>
    <row r="254" spans="2:17"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</row>
    <row r="255" spans="2:17"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</row>
    <row r="256" spans="2:17"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</row>
    <row r="257" spans="2:21"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</row>
    <row r="258" spans="2:21">
      <c r="B258" s="35"/>
      <c r="C258" s="35"/>
      <c r="D258" s="35"/>
      <c r="E258" s="35"/>
      <c r="F258" s="35"/>
      <c r="G258" s="35"/>
      <c r="H258" s="35"/>
      <c r="I258" s="35"/>
      <c r="J258" s="213" t="s">
        <v>272</v>
      </c>
      <c r="K258" s="213" t="s">
        <v>1129</v>
      </c>
      <c r="L258" s="213" t="s">
        <v>453</v>
      </c>
      <c r="M258" s="213" t="s">
        <v>452</v>
      </c>
      <c r="O258" s="226" t="s">
        <v>202</v>
      </c>
      <c r="P258" s="60"/>
      <c r="Q258" s="226"/>
    </row>
    <row r="259" spans="2:21">
      <c r="B259" s="35"/>
      <c r="C259" s="35"/>
      <c r="D259" s="211" t="s">
        <v>484</v>
      </c>
      <c r="E259" s="35"/>
      <c r="G259" s="35"/>
      <c r="I259" s="35"/>
      <c r="J259" s="216"/>
      <c r="K259" s="216" t="s">
        <v>1130</v>
      </c>
      <c r="L259" s="216" t="s">
        <v>549</v>
      </c>
      <c r="M259" s="216" t="s">
        <v>549</v>
      </c>
      <c r="O259" s="227" t="s">
        <v>203</v>
      </c>
      <c r="P259" s="228"/>
      <c r="Q259" s="227"/>
      <c r="S259" s="180" t="s">
        <v>588</v>
      </c>
      <c r="T259" s="192"/>
    </row>
    <row r="260" spans="2:21">
      <c r="B260" s="35"/>
      <c r="C260" s="35"/>
      <c r="D260" s="192" t="s">
        <v>210</v>
      </c>
      <c r="E260" s="35"/>
      <c r="G260" s="35"/>
      <c r="H260" s="215">
        <v>100000</v>
      </c>
      <c r="J260" s="223">
        <v>1</v>
      </c>
      <c r="K260" s="215">
        <f>H260-L260</f>
        <v>60000</v>
      </c>
      <c r="L260" s="215">
        <f>H260*$H$261</f>
        <v>40000</v>
      </c>
      <c r="M260" s="215">
        <v>0</v>
      </c>
      <c r="O260" s="215">
        <f>H260/(5-0)</f>
        <v>20000</v>
      </c>
      <c r="P260" s="192" t="str">
        <f>"("&amp;FIXED(H260,0)&amp;"/"&amp;FIXED(5,0)&amp;")"</f>
        <v>(100.000/5)</v>
      </c>
      <c r="Q260" s="223"/>
      <c r="S260" s="180" t="s">
        <v>1555</v>
      </c>
      <c r="T260" s="192">
        <v>7500</v>
      </c>
    </row>
    <row r="261" spans="2:21">
      <c r="B261" s="35"/>
      <c r="C261" s="35"/>
      <c r="D261" s="12" t="s">
        <v>200</v>
      </c>
      <c r="E261" s="35"/>
      <c r="G261" s="35"/>
      <c r="H261" s="224">
        <v>0.4</v>
      </c>
      <c r="J261" s="223">
        <f>+J260+1</f>
        <v>2</v>
      </c>
      <c r="K261" s="215">
        <f>K260-L261</f>
        <v>36000</v>
      </c>
      <c r="L261" s="215">
        <f>K260*$H$261</f>
        <v>24000</v>
      </c>
      <c r="M261" s="215">
        <f>+L260+M260</f>
        <v>40000</v>
      </c>
      <c r="O261" s="215">
        <f>K260/(5-J260)</f>
        <v>15000</v>
      </c>
      <c r="P261" s="192" t="str">
        <f>"("&amp;FIXED(K260,0)&amp;"/"&amp;FIXED(5-J260,0)&amp;")"</f>
        <v>(60.000/4)</v>
      </c>
      <c r="Q261" s="223"/>
      <c r="S261" s="180" t="s">
        <v>8</v>
      </c>
      <c r="T261" s="192">
        <f>1-(T260/H260)^(1/J264)</f>
        <v>0.40432105091645421</v>
      </c>
    </row>
    <row r="262" spans="2:21">
      <c r="B262" s="35"/>
      <c r="C262" s="35"/>
      <c r="D262" s="12" t="s">
        <v>201</v>
      </c>
      <c r="E262" s="35"/>
      <c r="G262" s="35"/>
      <c r="H262" s="35"/>
      <c r="I262" s="35"/>
      <c r="J262" s="223">
        <f>+J261+1</f>
        <v>3</v>
      </c>
      <c r="K262" s="215">
        <f>K261-L262</f>
        <v>21600</v>
      </c>
      <c r="L262" s="215">
        <f>K261*$H$261</f>
        <v>14400</v>
      </c>
      <c r="M262" s="215">
        <f>+L261+M261</f>
        <v>64000</v>
      </c>
      <c r="O262" s="215">
        <f>K261/(5-J261)</f>
        <v>12000</v>
      </c>
      <c r="P262" s="192" t="str">
        <f>"("&amp;FIXED(K261,0)&amp;"/"&amp;FIXED(5-J261,0)&amp;")"</f>
        <v>(36.000/3)</v>
      </c>
      <c r="Q262" s="223"/>
    </row>
    <row r="263" spans="2:21">
      <c r="B263" s="35"/>
      <c r="C263" s="35"/>
      <c r="D263" s="35"/>
      <c r="E263" s="35"/>
      <c r="F263" s="35"/>
      <c r="G263" s="35"/>
      <c r="H263" s="35"/>
      <c r="I263" s="35"/>
      <c r="J263" s="223">
        <f>+J262+1</f>
        <v>4</v>
      </c>
      <c r="K263" s="215">
        <f>K262-L263</f>
        <v>12960</v>
      </c>
      <c r="L263" s="215">
        <f>K262*$H$261</f>
        <v>8640</v>
      </c>
      <c r="M263" s="215">
        <f>+L262+M262</f>
        <v>78400</v>
      </c>
      <c r="O263" s="215">
        <f>K262/(5-J262)</f>
        <v>10800</v>
      </c>
      <c r="P263" s="192" t="str">
        <f>"("&amp;FIXED(K262,0)&amp;"/"&amp;FIXED(5-J262,0)&amp;")"</f>
        <v>(21.600/2)</v>
      </c>
      <c r="Q263" s="223"/>
    </row>
    <row r="264" spans="2:21">
      <c r="B264" s="35"/>
      <c r="C264" s="35"/>
      <c r="D264" s="192" t="s">
        <v>209</v>
      </c>
      <c r="E264" s="192"/>
      <c r="F264" s="192"/>
      <c r="H264" s="193">
        <f>AVERAGE(K260:K264,H260)</f>
        <v>38426.666666666664</v>
      </c>
      <c r="I264" s="35"/>
      <c r="J264" s="225">
        <f>+J263+1</f>
        <v>5</v>
      </c>
      <c r="K264" s="221">
        <f>K263-L264</f>
        <v>0</v>
      </c>
      <c r="L264" s="221">
        <f>K263</f>
        <v>12960</v>
      </c>
      <c r="M264" s="221">
        <f>+L263+M263</f>
        <v>87040</v>
      </c>
      <c r="O264" s="221" t="str">
        <f>"   =&gt; "&amp;FIXED(O263,0)&amp;" &gt; "&amp;FIXED(L263,0)&amp;" !!"</f>
        <v xml:space="preserve">   =&gt; 10.800 &gt; 8.640 !!</v>
      </c>
      <c r="P264" s="192"/>
      <c r="Q264" s="223"/>
    </row>
    <row r="265" spans="2:21">
      <c r="B265" s="35"/>
      <c r="C265" s="35"/>
      <c r="D265" s="35"/>
      <c r="E265" s="35"/>
      <c r="F265" s="35"/>
      <c r="G265" s="35"/>
      <c r="H265" s="35"/>
      <c r="I265" s="35"/>
      <c r="J265" s="35"/>
    </row>
    <row r="266" spans="2:21">
      <c r="D266" s="231" t="s">
        <v>545</v>
      </c>
    </row>
    <row r="267" spans="2:21">
      <c r="D267" s="232" t="s">
        <v>1253</v>
      </c>
    </row>
    <row r="268" spans="2:21">
      <c r="D268" s="233" t="s">
        <v>1254</v>
      </c>
      <c r="U268" s="98"/>
    </row>
    <row r="269" spans="2:21">
      <c r="D269" s="233" t="s">
        <v>1255</v>
      </c>
    </row>
    <row r="270" spans="2:21">
      <c r="D270" s="233" t="s">
        <v>1256</v>
      </c>
    </row>
    <row r="271" spans="2:21">
      <c r="D271" s="233" t="s">
        <v>1257</v>
      </c>
    </row>
    <row r="272" spans="2:21">
      <c r="D272" s="233" t="s">
        <v>825</v>
      </c>
    </row>
    <row r="273" spans="3:4">
      <c r="D273" s="233" t="s">
        <v>826</v>
      </c>
    </row>
    <row r="274" spans="3:4">
      <c r="D274" s="233" t="s">
        <v>1258</v>
      </c>
    </row>
    <row r="275" spans="3:4">
      <c r="D275" s="233" t="s">
        <v>827</v>
      </c>
    </row>
    <row r="276" spans="3:4">
      <c r="D276" s="233" t="s">
        <v>544</v>
      </c>
    </row>
    <row r="277" spans="3:4">
      <c r="D277" s="233" t="s">
        <v>828</v>
      </c>
    </row>
    <row r="278" spans="3:4">
      <c r="D278" s="233" t="s">
        <v>1259</v>
      </c>
    </row>
    <row r="279" spans="3:4">
      <c r="C279" s="35"/>
    </row>
    <row r="280" spans="3:4">
      <c r="C280" s="35"/>
    </row>
    <row r="281" spans="3:4">
      <c r="C281" s="7" t="s">
        <v>563</v>
      </c>
    </row>
    <row r="282" spans="3:4">
      <c r="C282" s="35" t="s">
        <v>950</v>
      </c>
    </row>
    <row r="283" spans="3:4">
      <c r="C283" s="35" t="s">
        <v>951</v>
      </c>
    </row>
    <row r="284" spans="3:4">
      <c r="C284" s="198" t="s">
        <v>498</v>
      </c>
    </row>
    <row r="285" spans="3:4">
      <c r="C285" s="198" t="s">
        <v>206</v>
      </c>
    </row>
    <row r="286" spans="3:4">
      <c r="C286" s="35" t="s">
        <v>542</v>
      </c>
    </row>
    <row r="287" spans="3:4">
      <c r="C287" s="35" t="s">
        <v>543</v>
      </c>
    </row>
    <row r="288" spans="3:4">
      <c r="C288" s="33" t="s">
        <v>544</v>
      </c>
    </row>
    <row r="290" spans="2:22">
      <c r="B290" s="105">
        <f>1+B238</f>
        <v>5</v>
      </c>
      <c r="C290" s="103" t="str">
        <f>"Übersicht "&amp;FIXED(B290,0)&amp;":"</f>
        <v>Übersicht 5:</v>
      </c>
      <c r="D290" s="35"/>
      <c r="E290"/>
      <c r="F290"/>
      <c r="G290" s="92" t="s">
        <v>563</v>
      </c>
      <c r="H290"/>
      <c r="I290" s="35"/>
      <c r="J290" s="35"/>
      <c r="K290" s="35"/>
      <c r="L290" s="35"/>
      <c r="M290" s="35"/>
      <c r="N290" s="35"/>
      <c r="O290" s="35"/>
      <c r="P290" s="35"/>
      <c r="Q290" s="35"/>
      <c r="V290" s="33">
        <f>SQRT(4)</f>
        <v>2</v>
      </c>
    </row>
    <row r="291" spans="2:22">
      <c r="C291" s="35"/>
    </row>
    <row r="292" spans="2:22">
      <c r="C292" s="35"/>
    </row>
    <row r="293" spans="2:22">
      <c r="C293" s="35"/>
    </row>
    <row r="294" spans="2:22">
      <c r="C294" s="35"/>
    </row>
    <row r="295" spans="2:22">
      <c r="C295" s="35"/>
    </row>
    <row r="296" spans="2:22">
      <c r="C296" s="35"/>
    </row>
    <row r="297" spans="2:22">
      <c r="C297" s="35"/>
    </row>
    <row r="298" spans="2:22">
      <c r="C298" s="35"/>
    </row>
    <row r="299" spans="2:22">
      <c r="C299" s="35"/>
    </row>
    <row r="300" spans="2:22">
      <c r="C300" s="35"/>
    </row>
    <row r="301" spans="2:22">
      <c r="C301" s="35"/>
    </row>
    <row r="302" spans="2:22">
      <c r="C302" s="35"/>
    </row>
    <row r="303" spans="2:22">
      <c r="C303" s="35"/>
    </row>
    <row r="304" spans="2:22">
      <c r="C304" s="35"/>
    </row>
    <row r="305" spans="2:16">
      <c r="C305" s="35"/>
    </row>
    <row r="306" spans="2:16">
      <c r="C306" s="35"/>
    </row>
    <row r="307" spans="2:16">
      <c r="C307" s="35"/>
    </row>
    <row r="308" spans="2:16">
      <c r="C308" s="35"/>
    </row>
    <row r="309" spans="2:16">
      <c r="C309" s="35"/>
    </row>
    <row r="310" spans="2:16">
      <c r="C310" s="35" t="s">
        <v>485</v>
      </c>
    </row>
    <row r="311" spans="2:16">
      <c r="C311" s="35" t="s">
        <v>207</v>
      </c>
    </row>
    <row r="312" spans="2:16" ht="18.600000000000001">
      <c r="B312" s="182"/>
      <c r="C312" s="35" t="s">
        <v>489</v>
      </c>
    </row>
    <row r="313" spans="2:16">
      <c r="D313" s="35"/>
      <c r="H313" s="57" t="s">
        <v>488</v>
      </c>
      <c r="I313" s="50" t="s">
        <v>487</v>
      </c>
      <c r="J313" s="35" t="s">
        <v>486</v>
      </c>
    </row>
    <row r="314" spans="2:16">
      <c r="C314" s="35"/>
      <c r="H314" s="33">
        <v>5</v>
      </c>
      <c r="I314" s="50" t="s">
        <v>487</v>
      </c>
      <c r="J314" s="48">
        <v>15</v>
      </c>
      <c r="K314" s="50" t="s">
        <v>63</v>
      </c>
      <c r="L314" s="152">
        <f>H314/J314</f>
        <v>0.33333333333333331</v>
      </c>
    </row>
    <row r="315" spans="2:16">
      <c r="C315" s="35" t="s">
        <v>490</v>
      </c>
    </row>
    <row r="316" spans="2:16">
      <c r="C316" s="35" t="s">
        <v>491</v>
      </c>
    </row>
    <row r="317" spans="2:16" ht="18.600000000000001">
      <c r="B317" s="182"/>
      <c r="C317" s="35" t="s">
        <v>492</v>
      </c>
      <c r="M317" s="172">
        <f>4/15</f>
        <v>0.26666666666666666</v>
      </c>
    </row>
    <row r="318" spans="2:16">
      <c r="C318" s="35" t="s">
        <v>493</v>
      </c>
    </row>
    <row r="319" spans="2:16">
      <c r="C319" s="35"/>
    </row>
    <row r="320" spans="2:16">
      <c r="C320" s="35"/>
      <c r="K320" s="180" t="s">
        <v>272</v>
      </c>
      <c r="L320" s="213" t="s">
        <v>403</v>
      </c>
      <c r="M320" s="180" t="s">
        <v>494</v>
      </c>
      <c r="N320" s="213" t="s">
        <v>453</v>
      </c>
      <c r="O320" s="213" t="s">
        <v>452</v>
      </c>
      <c r="P320" s="213" t="s">
        <v>1129</v>
      </c>
    </row>
    <row r="321" spans="3:21">
      <c r="C321" s="35"/>
      <c r="D321" s="211" t="s">
        <v>497</v>
      </c>
      <c r="K321" s="189"/>
      <c r="L321" s="216"/>
      <c r="M321" s="189" t="s">
        <v>549</v>
      </c>
      <c r="N321" s="216" t="s">
        <v>549</v>
      </c>
      <c r="O321" s="216" t="s">
        <v>549</v>
      </c>
      <c r="P321" s="189" t="s">
        <v>1130</v>
      </c>
    </row>
    <row r="322" spans="3:21">
      <c r="C322" s="35"/>
      <c r="D322" s="192" t="s">
        <v>62</v>
      </c>
      <c r="I322" s="215">
        <v>100000</v>
      </c>
      <c r="K322" s="192">
        <v>1</v>
      </c>
      <c r="L322" s="214">
        <f>(5-J259)/$I$323</f>
        <v>0.33333333333333331</v>
      </c>
      <c r="M322" s="217">
        <f>L322</f>
        <v>0.33333333333333331</v>
      </c>
      <c r="N322" s="215">
        <f>$I$322*L322</f>
        <v>33333.333333333328</v>
      </c>
      <c r="O322" s="215">
        <v>0</v>
      </c>
      <c r="P322" s="215">
        <f>I322-N322</f>
        <v>66666.666666666672</v>
      </c>
    </row>
    <row r="323" spans="3:21">
      <c r="C323" s="35"/>
      <c r="D323" s="192" t="s">
        <v>495</v>
      </c>
      <c r="I323" s="193">
        <f>SUM(K322:K326)</f>
        <v>15</v>
      </c>
      <c r="K323" s="192">
        <f>+K322+1</f>
        <v>2</v>
      </c>
      <c r="L323" s="214">
        <f>(5-J260)/$I$323</f>
        <v>0.26666666666666666</v>
      </c>
      <c r="M323" s="217">
        <f>L323</f>
        <v>0.26666666666666666</v>
      </c>
      <c r="N323" s="215">
        <f>$I$322*L323</f>
        <v>26666.666666666668</v>
      </c>
      <c r="O323" s="215">
        <f>O322+N322</f>
        <v>33333.333333333328</v>
      </c>
      <c r="P323" s="215">
        <f>P322-N323</f>
        <v>40000</v>
      </c>
    </row>
    <row r="324" spans="3:21">
      <c r="C324" s="35"/>
      <c r="D324" s="222" t="s">
        <v>496</v>
      </c>
      <c r="I324" s="215">
        <f>100000/15</f>
        <v>6666.666666666667</v>
      </c>
      <c r="K324" s="192">
        <f>+K323+1</f>
        <v>3</v>
      </c>
      <c r="L324" s="214">
        <f>(5-J261)/$I$323</f>
        <v>0.2</v>
      </c>
      <c r="M324" s="217">
        <f>L324</f>
        <v>0.2</v>
      </c>
      <c r="N324" s="215">
        <f>$I$322*L324</f>
        <v>20000</v>
      </c>
      <c r="O324" s="215">
        <f>O323+N323</f>
        <v>60000</v>
      </c>
      <c r="P324" s="215">
        <f>P323-N324</f>
        <v>20000</v>
      </c>
    </row>
    <row r="325" spans="3:21">
      <c r="C325" s="35"/>
      <c r="D325" s="222" t="s">
        <v>211</v>
      </c>
      <c r="K325" s="192">
        <f>+K324+1</f>
        <v>4</v>
      </c>
      <c r="L325" s="214">
        <f>(5-J262)/$I$323</f>
        <v>0.13333333333333333</v>
      </c>
      <c r="M325" s="217">
        <f>L325</f>
        <v>0.13333333333333333</v>
      </c>
      <c r="N325" s="215">
        <f>$I$322*L325</f>
        <v>13333.333333333334</v>
      </c>
      <c r="O325" s="215">
        <f>O324+N324</f>
        <v>80000</v>
      </c>
      <c r="P325" s="215">
        <f>P324-N325</f>
        <v>6666.6666666666661</v>
      </c>
    </row>
    <row r="326" spans="3:21">
      <c r="C326" s="35"/>
      <c r="D326" s="192" t="s">
        <v>209</v>
      </c>
      <c r="E326" s="192"/>
      <c r="F326" s="192"/>
      <c r="I326" s="193">
        <f>AVERAGE(P322:P326,I322)</f>
        <v>38888.888888888891</v>
      </c>
      <c r="K326" s="218">
        <f>+K325+1</f>
        <v>5</v>
      </c>
      <c r="L326" s="219">
        <f>(5-J263)/$I$323</f>
        <v>6.6666666666666666E-2</v>
      </c>
      <c r="M326" s="220">
        <f>L326</f>
        <v>6.6666666666666666E-2</v>
      </c>
      <c r="N326" s="221">
        <f>$I$322*L326</f>
        <v>6666.666666666667</v>
      </c>
      <c r="O326" s="221">
        <f>O325+N325</f>
        <v>93333.333333333328</v>
      </c>
      <c r="P326" s="221">
        <f>P325-N326</f>
        <v>0</v>
      </c>
    </row>
    <row r="327" spans="3:21">
      <c r="C327" s="35"/>
    </row>
    <row r="328" spans="3:21">
      <c r="C328" s="35"/>
    </row>
    <row r="329" spans="3:21" ht="18.600000000000001">
      <c r="C329" s="166" t="s">
        <v>385</v>
      </c>
      <c r="D329" s="165"/>
      <c r="F329" s="77" t="s">
        <v>404</v>
      </c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</row>
    <row r="330" spans="3:21">
      <c r="C330" s="37" t="s">
        <v>405</v>
      </c>
      <c r="D330"/>
    </row>
    <row r="331" spans="3:21">
      <c r="C331" s="36" t="s">
        <v>406</v>
      </c>
      <c r="D331"/>
    </row>
    <row r="332" spans="3:21">
      <c r="C332" s="37" t="s">
        <v>704</v>
      </c>
      <c r="D332"/>
    </row>
    <row r="333" spans="3:21">
      <c r="C333" s="36" t="s">
        <v>834</v>
      </c>
      <c r="D333"/>
    </row>
    <row r="334" spans="3:21">
      <c r="C334" s="37" t="s">
        <v>705</v>
      </c>
      <c r="D334"/>
    </row>
    <row r="335" spans="3:21">
      <c r="C335" s="36" t="s">
        <v>706</v>
      </c>
      <c r="D335"/>
    </row>
    <row r="336" spans="3:21">
      <c r="C336" s="37" t="s">
        <v>707</v>
      </c>
      <c r="D336"/>
    </row>
    <row r="337" spans="2:33">
      <c r="C337" s="37" t="s">
        <v>331</v>
      </c>
      <c r="D337"/>
    </row>
    <row r="338" spans="2:33">
      <c r="C338" s="36" t="s">
        <v>708</v>
      </c>
      <c r="D338"/>
    </row>
    <row r="339" spans="2:33">
      <c r="C339" s="36" t="s">
        <v>709</v>
      </c>
      <c r="D339"/>
    </row>
    <row r="340" spans="2:33">
      <c r="C340" s="37" t="s">
        <v>710</v>
      </c>
      <c r="D340"/>
    </row>
    <row r="341" spans="2:33">
      <c r="C341" s="37"/>
      <c r="D341"/>
    </row>
    <row r="342" spans="2:33">
      <c r="B342" s="105">
        <f>1+B290</f>
        <v>6</v>
      </c>
      <c r="C342" s="103" t="str">
        <f>"Übersicht "&amp;FIXED(B342,0)&amp;":"</f>
        <v>Übersicht 6:</v>
      </c>
      <c r="D342" s="35"/>
      <c r="E342" s="35"/>
      <c r="F342"/>
      <c r="G342" s="92" t="s">
        <v>404</v>
      </c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T342"/>
      <c r="AA342"/>
      <c r="AG342"/>
    </row>
    <row r="343" spans="2:33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 s="35"/>
      <c r="T343"/>
      <c r="AA343"/>
      <c r="AG343"/>
    </row>
    <row r="344" spans="2:33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 s="35"/>
      <c r="AA344"/>
      <c r="AB344"/>
      <c r="AC344"/>
      <c r="AG344"/>
    </row>
    <row r="345" spans="2:33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 s="35"/>
      <c r="AA345"/>
      <c r="AB345"/>
      <c r="AC345"/>
      <c r="AG345"/>
    </row>
    <row r="346" spans="2:33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 s="12"/>
      <c r="AA346"/>
      <c r="AB346"/>
      <c r="AC346"/>
      <c r="AG346"/>
    </row>
    <row r="347" spans="2:33">
      <c r="B347" s="12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 s="12"/>
      <c r="AA347"/>
      <c r="AB347"/>
      <c r="AC347"/>
      <c r="AG347"/>
    </row>
    <row r="348" spans="2:33">
      <c r="B348" s="35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 s="12"/>
      <c r="AA348"/>
      <c r="AB348"/>
      <c r="AC348"/>
      <c r="AG348"/>
    </row>
    <row r="349" spans="2:33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 s="12"/>
      <c r="AA349"/>
      <c r="AB349"/>
      <c r="AC349"/>
      <c r="AG349"/>
    </row>
    <row r="350" spans="2:33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 s="12"/>
      <c r="AA350"/>
      <c r="AB350"/>
      <c r="AC350"/>
      <c r="AG350"/>
    </row>
    <row r="351" spans="2:33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 s="12"/>
      <c r="AA351"/>
      <c r="AB351"/>
      <c r="AC351"/>
      <c r="AG351"/>
    </row>
    <row r="352" spans="2:33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AA352" s="153"/>
      <c r="AB352"/>
      <c r="AC352"/>
    </row>
    <row r="353" spans="2:29">
      <c r="B353" s="12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T353" s="143"/>
      <c r="U353" s="153"/>
      <c r="V353" s="153"/>
      <c r="W353" s="143"/>
      <c r="X353" s="153"/>
      <c r="Y353" s="153"/>
      <c r="Z353" s="153"/>
      <c r="AA353" s="153"/>
      <c r="AB353"/>
      <c r="AC353"/>
    </row>
    <row r="354" spans="2:29">
      <c r="B354" s="35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T354" s="143"/>
      <c r="U354" s="153"/>
      <c r="V354" s="153"/>
      <c r="W354" s="143"/>
      <c r="X354" s="153"/>
      <c r="Y354" s="153"/>
      <c r="Z354" s="153"/>
      <c r="AA354" s="153"/>
      <c r="AB354"/>
      <c r="AC354"/>
    </row>
    <row r="355" spans="2:29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T355" s="143"/>
      <c r="U355" s="153"/>
      <c r="V355" s="153"/>
      <c r="W355" s="143"/>
      <c r="X355" s="153"/>
      <c r="Y355" s="153"/>
      <c r="Z355" s="153"/>
      <c r="AA355" s="153"/>
      <c r="AB355"/>
      <c r="AC355"/>
    </row>
    <row r="356" spans="2:29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</row>
    <row r="357" spans="2:29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</row>
    <row r="358" spans="2:29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</row>
    <row r="359" spans="2:29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</row>
    <row r="360" spans="2:29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</row>
    <row r="361" spans="2:29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</row>
    <row r="362" spans="2:29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</row>
    <row r="363" spans="2:29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</row>
    <row r="364" spans="2:29">
      <c r="C364"/>
      <c r="D364"/>
      <c r="E364"/>
      <c r="F364"/>
      <c r="G364" s="191"/>
      <c r="J364" s="190"/>
      <c r="K364" s="190"/>
      <c r="M364" s="190"/>
      <c r="N364"/>
      <c r="O364"/>
      <c r="P364"/>
      <c r="Q364"/>
    </row>
    <row r="365" spans="2:29">
      <c r="C365"/>
      <c r="J365" s="195" t="s">
        <v>272</v>
      </c>
      <c r="K365" s="195" t="s">
        <v>1131</v>
      </c>
      <c r="L365" s="195" t="s">
        <v>551</v>
      </c>
      <c r="M365" s="195" t="s">
        <v>554</v>
      </c>
      <c r="N365" s="195" t="s">
        <v>553</v>
      </c>
      <c r="O365" s="195" t="s">
        <v>550</v>
      </c>
      <c r="P365" s="195" t="s">
        <v>452</v>
      </c>
      <c r="Q365" s="195" t="s">
        <v>1129</v>
      </c>
    </row>
    <row r="366" spans="2:29">
      <c r="C366"/>
      <c r="J366" s="188"/>
      <c r="K366" s="189" t="s">
        <v>548</v>
      </c>
      <c r="L366" s="189" t="s">
        <v>1130</v>
      </c>
      <c r="M366" s="189" t="s">
        <v>549</v>
      </c>
      <c r="N366" s="189" t="s">
        <v>549</v>
      </c>
      <c r="O366" s="189" t="s">
        <v>549</v>
      </c>
      <c r="P366" s="189" t="s">
        <v>549</v>
      </c>
      <c r="Q366" s="189" t="s">
        <v>1130</v>
      </c>
    </row>
    <row r="367" spans="2:29">
      <c r="C367"/>
      <c r="D367" s="192" t="s">
        <v>62</v>
      </c>
      <c r="H367" s="193">
        <v>100000</v>
      </c>
      <c r="J367" s="192">
        <f>+F364+1</f>
        <v>1</v>
      </c>
      <c r="K367" s="194"/>
      <c r="L367" s="193">
        <f>+H367+K367</f>
        <v>100000</v>
      </c>
      <c r="M367" s="193">
        <f>L367*$H$368</f>
        <v>20000</v>
      </c>
      <c r="N367" s="193"/>
      <c r="O367" s="193">
        <f>+N367+M367</f>
        <v>20000</v>
      </c>
      <c r="P367" s="193"/>
      <c r="Q367" s="193">
        <f>L367-O367+K367</f>
        <v>80000</v>
      </c>
      <c r="R367"/>
    </row>
    <row r="368" spans="2:29">
      <c r="C368"/>
      <c r="D368" s="192" t="s">
        <v>552</v>
      </c>
      <c r="H368" s="235">
        <f>1/J371</f>
        <v>0.2</v>
      </c>
      <c r="J368" s="192">
        <f>+J367+1</f>
        <v>2</v>
      </c>
      <c r="K368" s="193">
        <v>5000</v>
      </c>
      <c r="L368" s="193">
        <f>L367+K368</f>
        <v>105000</v>
      </c>
      <c r="M368" s="193">
        <f>L368*$H$368</f>
        <v>21000</v>
      </c>
      <c r="N368" s="193">
        <f>K368*$H$368*J367</f>
        <v>1000</v>
      </c>
      <c r="O368" s="193">
        <f>+N368+M368</f>
        <v>22000</v>
      </c>
      <c r="P368" s="193">
        <f>+M367</f>
        <v>20000</v>
      </c>
      <c r="Q368" s="193">
        <f>Q367-O368+K368</f>
        <v>63000</v>
      </c>
      <c r="R368"/>
    </row>
    <row r="369" spans="2:21">
      <c r="C369"/>
      <c r="D369" s="192" t="s">
        <v>220</v>
      </c>
      <c r="E369" s="192"/>
      <c r="F369" s="192"/>
      <c r="H369" s="230">
        <f>AVERAGE(O367:O371)</f>
        <v>24000</v>
      </c>
      <c r="J369" s="192">
        <f>+J368+1</f>
        <v>3</v>
      </c>
      <c r="K369" s="193">
        <f>K368</f>
        <v>5000</v>
      </c>
      <c r="L369" s="193">
        <f>L368+K369</f>
        <v>110000</v>
      </c>
      <c r="M369" s="193">
        <f>L369*$H$368</f>
        <v>22000</v>
      </c>
      <c r="N369" s="193">
        <f>K369*$H$368*J368</f>
        <v>2000</v>
      </c>
      <c r="O369" s="193">
        <f>+N369+M369</f>
        <v>24000</v>
      </c>
      <c r="P369" s="193">
        <f>+P368+O368</f>
        <v>42000</v>
      </c>
      <c r="Q369" s="193">
        <f>Q368-O369+K369</f>
        <v>44000</v>
      </c>
      <c r="R369"/>
    </row>
    <row r="370" spans="2:21">
      <c r="C370"/>
      <c r="D370" s="192" t="s">
        <v>221</v>
      </c>
      <c r="E370" s="192"/>
      <c r="F370" s="192"/>
      <c r="H370" s="230">
        <f>SUM(O367:O371)</f>
        <v>120000</v>
      </c>
      <c r="J370" s="192">
        <f>+J369+1</f>
        <v>4</v>
      </c>
      <c r="K370" s="193">
        <f>K369</f>
        <v>5000</v>
      </c>
      <c r="L370" s="193">
        <f>L369+K370</f>
        <v>115000</v>
      </c>
      <c r="M370" s="193">
        <f>L370*$H$368</f>
        <v>23000</v>
      </c>
      <c r="N370" s="193">
        <f>K370*$H$368*J369</f>
        <v>3000</v>
      </c>
      <c r="O370" s="193">
        <f>+N370+M370</f>
        <v>26000</v>
      </c>
      <c r="P370" s="193">
        <f>+P369+O369</f>
        <v>66000</v>
      </c>
      <c r="Q370" s="193">
        <f>Q369-O370+K370</f>
        <v>23000</v>
      </c>
      <c r="R370"/>
    </row>
    <row r="371" spans="2:21">
      <c r="C371"/>
      <c r="D371" s="192" t="s">
        <v>209</v>
      </c>
      <c r="E371" s="192"/>
      <c r="F371" s="192"/>
      <c r="H371" s="230">
        <f>AVERAGE(Q367:Q371,H367)</f>
        <v>51666.666666666664</v>
      </c>
      <c r="J371" s="218">
        <f>+J370+1</f>
        <v>5</v>
      </c>
      <c r="K371" s="230">
        <f>K370</f>
        <v>5000</v>
      </c>
      <c r="L371" s="230">
        <f>L370+K371</f>
        <v>120000</v>
      </c>
      <c r="M371" s="230">
        <f>L371*$H$368</f>
        <v>24000</v>
      </c>
      <c r="N371" s="230">
        <f>K371*$H$368*J370</f>
        <v>4000</v>
      </c>
      <c r="O371" s="230">
        <f>+N371+M371</f>
        <v>28000</v>
      </c>
      <c r="P371" s="230">
        <f>+P370+O370</f>
        <v>92000</v>
      </c>
      <c r="Q371" s="230">
        <f>Q370-O371+K371</f>
        <v>0</v>
      </c>
      <c r="R371"/>
    </row>
    <row r="372" spans="2:21">
      <c r="C372"/>
      <c r="I372"/>
      <c r="J372"/>
      <c r="K372"/>
      <c r="L372"/>
      <c r="M372"/>
      <c r="N372"/>
      <c r="O372"/>
      <c r="P372"/>
      <c r="Q372"/>
    </row>
    <row r="373" spans="2:21">
      <c r="D373" s="37" t="s">
        <v>556</v>
      </c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</row>
    <row r="374" spans="2:21">
      <c r="D374" t="s">
        <v>555</v>
      </c>
      <c r="E374" s="197" t="s">
        <v>557</v>
      </c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</row>
    <row r="375" spans="2:21">
      <c r="D375" t="s">
        <v>555</v>
      </c>
      <c r="E375" s="197" t="s">
        <v>558</v>
      </c>
      <c r="F375" s="13"/>
      <c r="G375" s="13"/>
      <c r="H375" s="13"/>
      <c r="I375" s="35"/>
      <c r="J375" s="35"/>
      <c r="K375" s="35"/>
      <c r="L375" s="35"/>
      <c r="M375" s="35"/>
      <c r="N375" s="35"/>
      <c r="O375" s="35"/>
      <c r="P375" s="35"/>
      <c r="Q375" s="35"/>
      <c r="R375" s="35"/>
    </row>
    <row r="376" spans="2:21">
      <c r="C376"/>
      <c r="D376" s="37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</row>
    <row r="377" spans="2:21"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</row>
    <row r="378" spans="2:21" ht="18.600000000000001">
      <c r="C378" s="166" t="s">
        <v>386</v>
      </c>
      <c r="D378" s="165"/>
      <c r="F378" s="77" t="s">
        <v>711</v>
      </c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</row>
    <row r="379" spans="2:21">
      <c r="C379" s="35" t="s">
        <v>564</v>
      </c>
      <c r="D379" s="35"/>
      <c r="E379" s="35"/>
      <c r="F379" s="35"/>
      <c r="G379"/>
      <c r="H379" s="35"/>
      <c r="I379" s="35"/>
      <c r="J379" s="35"/>
      <c r="K379" s="35"/>
      <c r="L379" s="35"/>
      <c r="M379" s="35"/>
      <c r="N379" s="35"/>
      <c r="O379" s="35"/>
      <c r="P379" s="35"/>
      <c r="Q379" s="35"/>
    </row>
    <row r="380" spans="2:21">
      <c r="C380" s="35" t="s">
        <v>565</v>
      </c>
      <c r="D380" s="35"/>
      <c r="E380" s="35"/>
      <c r="F380" s="35"/>
      <c r="G380"/>
      <c r="H380" s="35"/>
      <c r="I380" s="35"/>
      <c r="J380" s="35"/>
      <c r="K380" s="35"/>
      <c r="L380" s="35"/>
      <c r="M380" s="35"/>
      <c r="N380" s="35"/>
      <c r="O380" s="35"/>
      <c r="P380" s="35"/>
      <c r="Q380" s="35"/>
    </row>
    <row r="381" spans="2:21">
      <c r="C381" s="35" t="s">
        <v>566</v>
      </c>
      <c r="D381" s="35"/>
      <c r="E381" s="35"/>
      <c r="F381" s="35"/>
      <c r="G381"/>
      <c r="H381" s="35"/>
      <c r="I381" s="35"/>
      <c r="J381" s="35"/>
      <c r="K381" s="35"/>
      <c r="L381" s="35"/>
      <c r="M381" s="35"/>
      <c r="N381" s="35"/>
      <c r="O381" s="35"/>
      <c r="P381" s="35"/>
      <c r="Q381" s="35"/>
    </row>
    <row r="382" spans="2:21" ht="18.600000000000001">
      <c r="B382" s="182"/>
      <c r="C382" s="37" t="s">
        <v>712</v>
      </c>
      <c r="D382" s="35"/>
      <c r="E382" s="35"/>
      <c r="F382" s="35"/>
      <c r="G382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</row>
    <row r="383" spans="2:21">
      <c r="B383" s="35"/>
      <c r="C383" s="37" t="s">
        <v>713</v>
      </c>
      <c r="D383" s="35"/>
      <c r="E383" s="35"/>
      <c r="F383" s="35"/>
      <c r="G383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</row>
    <row r="384" spans="2:21">
      <c r="B384" s="35"/>
      <c r="C384" s="37"/>
      <c r="D384" s="35"/>
      <c r="E384" s="35"/>
      <c r="F384" s="35"/>
      <c r="G384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</row>
    <row r="385" spans="2:24">
      <c r="B385" s="105">
        <f>1+B342</f>
        <v>7</v>
      </c>
      <c r="C385" s="103" t="str">
        <f>"Übersicht "&amp;FIXED(B385,0)&amp;":"</f>
        <v>Übersicht 7:</v>
      </c>
      <c r="D385" s="35"/>
      <c r="E385" s="35"/>
      <c r="F385"/>
      <c r="G385" s="92" t="s">
        <v>711</v>
      </c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</row>
    <row r="386" spans="2:24">
      <c r="U386" s="145" t="s">
        <v>337</v>
      </c>
      <c r="V386" s="153">
        <v>100000</v>
      </c>
    </row>
    <row r="387" spans="2:24">
      <c r="B387" s="12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 s="35"/>
      <c r="T387" s="145"/>
      <c r="U387" s="145"/>
      <c r="V387" s="145" t="s">
        <v>980</v>
      </c>
      <c r="W387" s="145" t="s">
        <v>391</v>
      </c>
      <c r="X387" s="145" t="s">
        <v>392</v>
      </c>
    </row>
    <row r="388" spans="2:24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S388" s="152">
        <v>0.3</v>
      </c>
      <c r="T388" s="200">
        <f>S388*$T$393</f>
        <v>3000</v>
      </c>
      <c r="U388" s="33">
        <v>1</v>
      </c>
      <c r="V388" s="153">
        <f>V386-W388</f>
        <v>70000</v>
      </c>
      <c r="W388" s="153">
        <f>S388*$V$386</f>
        <v>30000</v>
      </c>
      <c r="X388" s="153">
        <v>0</v>
      </c>
    </row>
    <row r="389" spans="2:24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S389" s="152">
        <v>0.2</v>
      </c>
      <c r="T389" s="200">
        <f>S389*$T$393</f>
        <v>2000</v>
      </c>
      <c r="U389" s="33">
        <f>+U388+1</f>
        <v>2</v>
      </c>
      <c r="V389" s="153">
        <f>V388-W389</f>
        <v>50000</v>
      </c>
      <c r="W389" s="153">
        <f>S389*$V$386</f>
        <v>20000</v>
      </c>
      <c r="X389" s="143">
        <f>+W388+X388</f>
        <v>30000</v>
      </c>
    </row>
    <row r="390" spans="2:24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S390" s="152">
        <v>0.15</v>
      </c>
      <c r="T390" s="200">
        <f>S390*$T$393</f>
        <v>1500</v>
      </c>
      <c r="U390" s="33">
        <f>+U389+1</f>
        <v>3</v>
      </c>
      <c r="V390" s="153">
        <f>V389-W390</f>
        <v>35000</v>
      </c>
      <c r="W390" s="153">
        <f>S390*$V$386</f>
        <v>15000</v>
      </c>
      <c r="X390" s="143">
        <f>+W389+X389</f>
        <v>50000</v>
      </c>
    </row>
    <row r="391" spans="2:24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S391" s="152">
        <v>0.25</v>
      </c>
      <c r="T391" s="200">
        <f>S391*$T$393</f>
        <v>2500</v>
      </c>
      <c r="U391" s="33">
        <f>+U390+1</f>
        <v>4</v>
      </c>
      <c r="V391" s="153">
        <f>V390-W391</f>
        <v>10000</v>
      </c>
      <c r="W391" s="153">
        <f>S391*$V$386</f>
        <v>25000</v>
      </c>
      <c r="X391" s="143">
        <f>+W390+X390</f>
        <v>65000</v>
      </c>
    </row>
    <row r="392" spans="2:24">
      <c r="B392" s="1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S392" s="199">
        <v>0.1</v>
      </c>
      <c r="T392" s="201">
        <f>S392*$T$393</f>
        <v>1000</v>
      </c>
      <c r="U392" s="154">
        <f>+U391+1</f>
        <v>5</v>
      </c>
      <c r="V392" s="156">
        <f>V391-W392</f>
        <v>0</v>
      </c>
      <c r="W392" s="156">
        <f>S392*$V$386</f>
        <v>10000</v>
      </c>
      <c r="X392" s="155">
        <f>+W391+X391</f>
        <v>90000</v>
      </c>
    </row>
    <row r="393" spans="2:24">
      <c r="B393" s="35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S393" s="152">
        <f>SUM(S388:S392)</f>
        <v>1</v>
      </c>
      <c r="T393" s="200">
        <v>10000</v>
      </c>
    </row>
    <row r="394" spans="2:24">
      <c r="B394" s="35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 s="12"/>
    </row>
    <row r="395" spans="2:24">
      <c r="B395" s="3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 s="12"/>
    </row>
    <row r="396" spans="2:24">
      <c r="B396" s="35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 s="12"/>
    </row>
    <row r="397" spans="2:24">
      <c r="B397" s="35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 s="12"/>
    </row>
    <row r="398" spans="2:24">
      <c r="B398" s="35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 s="12"/>
    </row>
    <row r="399" spans="2:24">
      <c r="B399" s="35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 s="12"/>
    </row>
    <row r="400" spans="2:24">
      <c r="B400" s="35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 s="12"/>
    </row>
    <row r="401" spans="2:21">
      <c r="B401" s="35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 s="12"/>
    </row>
    <row r="402" spans="2:21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 s="12"/>
    </row>
    <row r="403" spans="2:21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 s="12"/>
    </row>
    <row r="404" spans="2:21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</row>
    <row r="405" spans="2:21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</row>
    <row r="406" spans="2:21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</row>
    <row r="407" spans="2:21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</row>
    <row r="408" spans="2:21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</row>
    <row r="409" spans="2:21">
      <c r="C409" s="37" t="s">
        <v>208</v>
      </c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</row>
    <row r="410" spans="2:21">
      <c r="B410" s="34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</row>
    <row r="411" spans="2:21" ht="10.5" customHeight="1">
      <c r="B411" s="34"/>
      <c r="C411" s="37"/>
      <c r="D411" s="35"/>
      <c r="E411" s="35"/>
      <c r="F411" s="35"/>
      <c r="G411" s="35"/>
      <c r="H411" s="35"/>
      <c r="I411" s="7"/>
      <c r="K411" s="35"/>
      <c r="L411" s="35"/>
      <c r="M411" s="202" t="s">
        <v>334</v>
      </c>
      <c r="N411" s="40"/>
      <c r="O411" s="40"/>
      <c r="P411" s="35"/>
      <c r="Q411" s="35"/>
      <c r="R411" s="35"/>
    </row>
    <row r="412" spans="2:21" ht="10.5" customHeight="1">
      <c r="B412" s="34"/>
      <c r="C412" s="37" t="s">
        <v>336</v>
      </c>
      <c r="D412" s="35"/>
      <c r="E412" s="35"/>
      <c r="F412" s="35"/>
      <c r="G412" s="35"/>
      <c r="H412" s="35"/>
      <c r="I412" s="111"/>
      <c r="K412" s="35"/>
      <c r="M412" s="40" t="s">
        <v>335</v>
      </c>
      <c r="N412" s="40"/>
      <c r="O412" s="40"/>
      <c r="P412" s="35"/>
      <c r="Q412" s="35"/>
      <c r="R412" s="35"/>
    </row>
    <row r="413" spans="2:21" ht="10.5" customHeight="1">
      <c r="B413" s="34"/>
      <c r="C413" s="31"/>
      <c r="D413" s="31"/>
      <c r="E413" s="31"/>
      <c r="F413" s="31"/>
      <c r="G413" s="31"/>
      <c r="H413" s="31"/>
      <c r="I413" s="31"/>
      <c r="J413" s="31"/>
      <c r="K413" s="35"/>
      <c r="L413" s="36"/>
      <c r="M413" s="55" t="s">
        <v>714</v>
      </c>
      <c r="N413" s="40"/>
      <c r="O413" s="40"/>
      <c r="P413" s="35"/>
      <c r="Q413" s="35"/>
      <c r="R413" s="35"/>
    </row>
    <row r="414" spans="2:21">
      <c r="B414" s="34"/>
      <c r="C414" s="31"/>
      <c r="D414" s="31"/>
      <c r="E414" s="31"/>
      <c r="F414" s="31"/>
      <c r="G414" s="31"/>
      <c r="H414" s="31"/>
      <c r="I414" s="31"/>
      <c r="J414" s="31"/>
      <c r="K414" s="35"/>
      <c r="L414" s="36"/>
      <c r="M414" s="35"/>
      <c r="N414" s="35"/>
      <c r="O414" s="35"/>
      <c r="P414" s="35"/>
      <c r="Q414" s="35"/>
      <c r="R414" s="35"/>
    </row>
    <row r="415" spans="2:21">
      <c r="B415" s="34"/>
      <c r="C415" s="31"/>
      <c r="D415" s="31"/>
      <c r="E415" s="31"/>
      <c r="F415" s="31"/>
      <c r="G415" s="31"/>
      <c r="H415" s="31"/>
      <c r="I415" s="31"/>
      <c r="J415" s="31"/>
      <c r="K415" s="35"/>
      <c r="L415" s="36"/>
      <c r="M415" s="35"/>
      <c r="N415" s="35"/>
      <c r="O415" s="35"/>
      <c r="P415" s="35"/>
      <c r="Q415" s="35"/>
      <c r="R415" s="35"/>
    </row>
    <row r="416" spans="2:21" ht="20.399999999999999">
      <c r="C416" s="169" t="s">
        <v>376</v>
      </c>
      <c r="D416" s="76"/>
      <c r="E416"/>
      <c r="F416" s="70" t="s">
        <v>843</v>
      </c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</row>
    <row r="417" spans="2:16">
      <c r="C417" s="33" t="s">
        <v>1217</v>
      </c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</row>
    <row r="418" spans="2:16">
      <c r="C418" s="35" t="s">
        <v>1218</v>
      </c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</row>
    <row r="419" spans="2:16">
      <c r="C419" s="35" t="s">
        <v>1219</v>
      </c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</row>
    <row r="420" spans="2:16">
      <c r="C420" s="35" t="s">
        <v>715</v>
      </c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</row>
    <row r="421" spans="2:16">
      <c r="C421" s="37" t="s">
        <v>716</v>
      </c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</row>
    <row r="422" spans="2:16">
      <c r="C422" s="49" t="s">
        <v>840</v>
      </c>
      <c r="D422" s="37" t="s">
        <v>717</v>
      </c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</row>
    <row r="423" spans="2:16">
      <c r="C423" s="49" t="s">
        <v>840</v>
      </c>
      <c r="D423" s="37" t="s">
        <v>718</v>
      </c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</row>
    <row r="424" spans="2:16" ht="18.600000000000001">
      <c r="B424" s="182"/>
      <c r="C424" s="58" t="s">
        <v>222</v>
      </c>
      <c r="D424" s="37"/>
      <c r="E424" s="1071" t="s">
        <v>1220</v>
      </c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</row>
    <row r="425" spans="2:16">
      <c r="C425" s="83"/>
      <c r="D425" s="37"/>
      <c r="E425" s="12" t="s">
        <v>1221</v>
      </c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</row>
    <row r="426" spans="2:16">
      <c r="C426" s="83"/>
      <c r="D426" s="37"/>
      <c r="E426" s="12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</row>
    <row r="427" spans="2:16">
      <c r="C427" s="83"/>
      <c r="D427" s="37"/>
      <c r="E427" s="12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</row>
    <row r="428" spans="2:16" ht="18.600000000000001">
      <c r="C428" s="639" t="s">
        <v>378</v>
      </c>
      <c r="D428" s="168"/>
      <c r="E428" s="35"/>
      <c r="F428" s="81" t="s">
        <v>719</v>
      </c>
      <c r="G428" s="35"/>
      <c r="H428" s="35"/>
      <c r="I428" s="35"/>
      <c r="J428" s="35"/>
      <c r="K428" s="35"/>
      <c r="L428" s="35"/>
      <c r="M428" s="35"/>
      <c r="N428" s="35"/>
      <c r="O428" s="35"/>
      <c r="P428" s="35"/>
    </row>
    <row r="429" spans="2:16">
      <c r="C429" s="144" t="s">
        <v>212</v>
      </c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</row>
    <row r="430" spans="2:16">
      <c r="C430" s="1072" t="s">
        <v>1222</v>
      </c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</row>
    <row r="431" spans="2:16">
      <c r="C431" s="1072" t="s">
        <v>1223</v>
      </c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</row>
    <row r="432" spans="2:16">
      <c r="C432" s="1069" t="s">
        <v>1522</v>
      </c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</row>
    <row r="433" spans="3:16">
      <c r="C433" s="1069" t="s">
        <v>1523</v>
      </c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</row>
    <row r="434" spans="3:16">
      <c r="C434" s="1072" t="s">
        <v>1557</v>
      </c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</row>
    <row r="435" spans="3:16">
      <c r="C435" s="37" t="s">
        <v>1558</v>
      </c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</row>
    <row r="436" spans="3:16">
      <c r="C436" s="9" t="s">
        <v>952</v>
      </c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</row>
    <row r="437" spans="3:16">
      <c r="C437" s="37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</row>
    <row r="438" spans="3:16">
      <c r="C438" s="37"/>
      <c r="D438" s="35" t="s">
        <v>214</v>
      </c>
      <c r="E438" s="35"/>
      <c r="F438" s="35"/>
      <c r="G438" s="35"/>
      <c r="J438" s="234">
        <f>I145</f>
        <v>50000</v>
      </c>
      <c r="K438" s="236" t="s">
        <v>223</v>
      </c>
      <c r="L438" s="35"/>
      <c r="M438" s="35"/>
      <c r="N438" s="35"/>
      <c r="O438" s="35"/>
      <c r="P438" s="35"/>
    </row>
    <row r="439" spans="3:16">
      <c r="C439" s="37"/>
      <c r="D439" s="35" t="s">
        <v>213</v>
      </c>
      <c r="E439" s="35"/>
      <c r="F439" s="35"/>
      <c r="G439" s="35"/>
      <c r="J439" s="234">
        <f>I213</f>
        <v>53164.567328954465</v>
      </c>
      <c r="K439" s="12" t="s">
        <v>218</v>
      </c>
      <c r="L439" s="35"/>
      <c r="M439" s="35"/>
      <c r="N439" s="35"/>
      <c r="O439" s="35"/>
      <c r="P439" s="35"/>
    </row>
    <row r="440" spans="3:16">
      <c r="C440" s="37"/>
      <c r="D440" s="35" t="s">
        <v>215</v>
      </c>
      <c r="E440" s="35"/>
      <c r="F440" s="35"/>
      <c r="G440" s="35"/>
      <c r="J440" s="234">
        <f>H264</f>
        <v>38426.666666666664</v>
      </c>
      <c r="K440" s="12" t="s">
        <v>217</v>
      </c>
      <c r="L440" s="35"/>
      <c r="M440" s="35"/>
      <c r="N440" s="35"/>
      <c r="O440" s="35"/>
      <c r="P440" s="35"/>
    </row>
    <row r="441" spans="3:16">
      <c r="C441" s="36"/>
      <c r="D441" s="35" t="s">
        <v>216</v>
      </c>
      <c r="E441" s="35"/>
      <c r="F441" s="35"/>
      <c r="G441" s="35"/>
      <c r="J441" s="234">
        <f>I326</f>
        <v>38888.888888888891</v>
      </c>
      <c r="K441" s="12" t="s">
        <v>217</v>
      </c>
      <c r="L441" s="35"/>
      <c r="M441" s="35"/>
      <c r="N441" s="35"/>
      <c r="O441" s="35"/>
      <c r="P441" s="35"/>
    </row>
    <row r="442" spans="3:16">
      <c r="C442" s="36"/>
      <c r="D442" s="35" t="s">
        <v>229</v>
      </c>
      <c r="E442" s="35"/>
      <c r="F442" s="35"/>
      <c r="G442" s="35"/>
      <c r="J442" s="234">
        <f>H371</f>
        <v>51666.666666666664</v>
      </c>
      <c r="K442" s="12" t="s">
        <v>217</v>
      </c>
      <c r="L442" s="35"/>
      <c r="M442" s="35"/>
      <c r="N442" s="35"/>
      <c r="O442" s="35"/>
      <c r="P442" s="35"/>
    </row>
    <row r="443" spans="3:16">
      <c r="C443" s="36"/>
      <c r="D443" s="35" t="s">
        <v>219</v>
      </c>
      <c r="E443" s="35"/>
      <c r="F443" s="35"/>
      <c r="G443" s="35"/>
      <c r="J443" s="234">
        <f>AVERAGE(V388:V392,V386)</f>
        <v>44166.666666666664</v>
      </c>
      <c r="K443" s="12" t="s">
        <v>217</v>
      </c>
      <c r="L443" s="35"/>
      <c r="M443" s="35"/>
      <c r="N443" s="35"/>
      <c r="O443" s="35"/>
      <c r="P443" s="35"/>
    </row>
    <row r="444" spans="3:16">
      <c r="C444" s="36"/>
      <c r="D444" s="35"/>
      <c r="E444" s="35"/>
      <c r="F444" s="35"/>
      <c r="G444" s="35"/>
      <c r="H444" s="35"/>
      <c r="I444" s="234"/>
      <c r="J444" s="35"/>
      <c r="K444" s="35"/>
      <c r="L444" s="35"/>
      <c r="M444" s="35"/>
      <c r="N444" s="35"/>
      <c r="O444" s="35"/>
      <c r="P444" s="35"/>
    </row>
    <row r="445" spans="3:16">
      <c r="C445" s="37" t="s">
        <v>224</v>
      </c>
      <c r="D445" s="35"/>
      <c r="E445" s="35"/>
      <c r="F445" s="35"/>
      <c r="G445" s="35"/>
      <c r="H445" s="35"/>
      <c r="I445" s="234"/>
      <c r="J445" s="35"/>
      <c r="K445" s="35"/>
      <c r="L445" s="35"/>
      <c r="M445" s="35"/>
      <c r="N445" s="35"/>
      <c r="O445" s="35"/>
      <c r="P445" s="35"/>
    </row>
    <row r="446" spans="3:16">
      <c r="C446" s="33" t="s">
        <v>555</v>
      </c>
      <c r="D446" s="37" t="s">
        <v>227</v>
      </c>
      <c r="E446" s="35"/>
      <c r="F446" s="35"/>
      <c r="G446" s="35"/>
      <c r="H446" s="234"/>
      <c r="I446" s="35"/>
      <c r="J446" s="35"/>
      <c r="K446" s="35"/>
      <c r="L446" s="35"/>
      <c r="M446" s="35" t="s">
        <v>226</v>
      </c>
      <c r="N446" s="35"/>
      <c r="O446" s="35"/>
    </row>
    <row r="447" spans="3:16">
      <c r="C447" s="33" t="s">
        <v>555</v>
      </c>
      <c r="D447" s="37" t="s">
        <v>228</v>
      </c>
      <c r="E447" s="35"/>
      <c r="F447" s="35"/>
      <c r="G447" s="35"/>
      <c r="H447" s="234"/>
      <c r="I447" s="35"/>
      <c r="J447" s="35"/>
      <c r="K447" s="35"/>
      <c r="L447" s="35"/>
      <c r="M447" s="35" t="s">
        <v>225</v>
      </c>
      <c r="N447" s="35"/>
      <c r="O447" s="35"/>
    </row>
    <row r="448" spans="3:16">
      <c r="C448" s="33" t="s">
        <v>555</v>
      </c>
      <c r="D448" s="35" t="s">
        <v>230</v>
      </c>
      <c r="E448" s="35"/>
      <c r="F448" s="35"/>
      <c r="G448" s="35"/>
      <c r="H448" s="35"/>
      <c r="I448" s="234"/>
      <c r="J448" s="35"/>
      <c r="K448" s="35"/>
      <c r="L448" s="35"/>
      <c r="M448" s="35"/>
      <c r="N448" s="35"/>
      <c r="O448" s="35"/>
      <c r="P448" s="35"/>
    </row>
    <row r="449" spans="3:16">
      <c r="D449" s="37"/>
      <c r="E449" s="35"/>
      <c r="F449" s="35"/>
      <c r="G449" s="35"/>
      <c r="H449" s="35"/>
      <c r="I449" s="234"/>
      <c r="J449" s="35"/>
      <c r="K449" s="35"/>
      <c r="L449" s="35"/>
      <c r="M449" s="35"/>
      <c r="N449" s="35"/>
      <c r="O449" s="35"/>
      <c r="P449" s="35"/>
    </row>
    <row r="450" spans="3:16">
      <c r="C450" s="1071" t="s">
        <v>737</v>
      </c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</row>
    <row r="451" spans="3:16">
      <c r="C451" s="318" t="s">
        <v>538</v>
      </c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</row>
    <row r="452" spans="3:16">
      <c r="C452" s="35" t="s">
        <v>539</v>
      </c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</row>
    <row r="453" spans="3:16">
      <c r="C453" s="35" t="s">
        <v>540</v>
      </c>
      <c r="D453" s="35"/>
      <c r="E453" s="35"/>
      <c r="F453" s="35"/>
      <c r="G453" s="35"/>
      <c r="H453" s="35"/>
      <c r="I453" s="35"/>
      <c r="M453" s="35"/>
      <c r="N453" s="35"/>
      <c r="O453" s="35"/>
      <c r="P453" s="35"/>
    </row>
    <row r="454" spans="3:16">
      <c r="C454" s="35" t="s">
        <v>541</v>
      </c>
      <c r="D454" s="35"/>
      <c r="E454" s="35"/>
      <c r="F454" s="35"/>
      <c r="G454" s="35"/>
      <c r="H454" s="35"/>
      <c r="I454" s="35"/>
      <c r="M454" s="35"/>
      <c r="N454" s="35"/>
      <c r="O454" s="35"/>
      <c r="P454" s="35"/>
    </row>
    <row r="455" spans="3:16">
      <c r="C455" s="35"/>
      <c r="D455" s="35"/>
      <c r="E455" s="35"/>
      <c r="F455" s="35"/>
      <c r="G455" s="35"/>
      <c r="H455" s="35"/>
      <c r="I455" s="35"/>
      <c r="M455" s="35"/>
      <c r="N455" s="35"/>
      <c r="O455" s="35"/>
      <c r="P455" s="35"/>
    </row>
    <row r="456" spans="3:16">
      <c r="C456" s="1069" t="s">
        <v>1556</v>
      </c>
    </row>
    <row r="457" spans="3:16">
      <c r="C457" s="1069" t="s">
        <v>1559</v>
      </c>
    </row>
    <row r="458" spans="3:16">
      <c r="C458" s="1069"/>
    </row>
    <row r="459" spans="3:16">
      <c r="C459" s="1335" t="s">
        <v>1530</v>
      </c>
    </row>
    <row r="460" spans="3:16">
      <c r="C460" s="1334" t="s">
        <v>1136</v>
      </c>
      <c r="D460" s="1069" t="s">
        <v>1527</v>
      </c>
    </row>
    <row r="461" spans="3:16">
      <c r="C461" s="1069"/>
      <c r="D461" s="1069" t="s">
        <v>1609</v>
      </c>
    </row>
    <row r="462" spans="3:16">
      <c r="C462" s="1334" t="s">
        <v>1136</v>
      </c>
      <c r="D462" s="1069" t="s">
        <v>1528</v>
      </c>
    </row>
    <row r="463" spans="3:16">
      <c r="D463" s="1069" t="s">
        <v>1529</v>
      </c>
    </row>
    <row r="464" spans="3:16">
      <c r="C464" s="1334" t="s">
        <v>1136</v>
      </c>
      <c r="D464" s="1069" t="s">
        <v>1524</v>
      </c>
    </row>
    <row r="465" spans="3:10">
      <c r="C465" s="1069"/>
      <c r="D465" s="33" t="s">
        <v>1525</v>
      </c>
    </row>
    <row r="466" spans="3:10">
      <c r="C466" s="1069"/>
      <c r="D466" s="33" t="s">
        <v>1526</v>
      </c>
    </row>
    <row r="467" spans="3:10">
      <c r="C467" s="1334" t="s">
        <v>1136</v>
      </c>
      <c r="D467" s="1069" t="s">
        <v>1536</v>
      </c>
    </row>
    <row r="468" spans="3:10">
      <c r="C468" s="1069"/>
      <c r="D468" s="1069" t="s">
        <v>1537</v>
      </c>
    </row>
    <row r="469" spans="3:10">
      <c r="C469" s="1069"/>
      <c r="D469" s="1069" t="s">
        <v>1538</v>
      </c>
    </row>
    <row r="470" spans="3:10">
      <c r="C470" s="1069"/>
      <c r="D470" s="1069" t="s">
        <v>1541</v>
      </c>
    </row>
    <row r="471" spans="3:10">
      <c r="C471" s="1069"/>
      <c r="D471" s="1069" t="s">
        <v>1539</v>
      </c>
    </row>
    <row r="472" spans="3:10">
      <c r="C472" s="1069"/>
      <c r="D472" s="1069" t="s">
        <v>1540</v>
      </c>
    </row>
    <row r="473" spans="3:10">
      <c r="C473" s="1069"/>
    </row>
    <row r="474" spans="3:10">
      <c r="C474" s="1069"/>
    </row>
    <row r="475" spans="3:10">
      <c r="C475" s="642" t="s">
        <v>393</v>
      </c>
    </row>
    <row r="476" spans="3:10">
      <c r="C476" s="1334" t="s">
        <v>1136</v>
      </c>
      <c r="D476" s="1069" t="s">
        <v>1531</v>
      </c>
    </row>
    <row r="477" spans="3:10">
      <c r="D477" s="98" t="s">
        <v>1532</v>
      </c>
    </row>
    <row r="478" spans="3:10">
      <c r="C478" s="1334" t="s">
        <v>1136</v>
      </c>
      <c r="D478" s="1069" t="s">
        <v>1533</v>
      </c>
    </row>
    <row r="479" spans="3:10">
      <c r="D479" s="98" t="s">
        <v>1534</v>
      </c>
      <c r="E479" s="98"/>
      <c r="F479" s="98"/>
      <c r="G479" s="98"/>
      <c r="H479" s="98"/>
      <c r="I479" s="98"/>
      <c r="J479" s="98"/>
    </row>
    <row r="480" spans="3:10">
      <c r="D480" s="98" t="s">
        <v>1535</v>
      </c>
      <c r="E480" s="98"/>
      <c r="F480" s="98"/>
      <c r="G480" s="98"/>
      <c r="H480" s="98"/>
      <c r="I480" s="98"/>
      <c r="J480" s="98"/>
    </row>
    <row r="481" spans="3:4">
      <c r="C481" s="1334" t="s">
        <v>1136</v>
      </c>
      <c r="D481" s="98" t="s">
        <v>1542</v>
      </c>
    </row>
    <row r="482" spans="3:4">
      <c r="D482" s="98" t="s">
        <v>1543</v>
      </c>
    </row>
    <row r="483" spans="3:4">
      <c r="D483" s="98" t="s">
        <v>1544</v>
      </c>
    </row>
    <row r="484" spans="3:4">
      <c r="C484" s="1069"/>
      <c r="D484" s="1069" t="s">
        <v>1545</v>
      </c>
    </row>
    <row r="485" spans="3:4">
      <c r="C485" s="1069"/>
      <c r="D485" s="98" t="s">
        <v>1546</v>
      </c>
    </row>
    <row r="486" spans="3:4">
      <c r="C486" s="1069"/>
      <c r="D486" s="98" t="s">
        <v>1547</v>
      </c>
    </row>
    <row r="487" spans="3:4">
      <c r="C487" s="1069"/>
      <c r="D487" s="98" t="s">
        <v>1548</v>
      </c>
    </row>
    <row r="488" spans="3:4">
      <c r="C488" s="1069"/>
    </row>
    <row r="489" spans="3:4">
      <c r="C489" s="1069"/>
    </row>
    <row r="490" spans="3:4">
      <c r="C490" s="1069"/>
    </row>
    <row r="491" spans="3:4">
      <c r="C491" s="642" t="s">
        <v>399</v>
      </c>
    </row>
    <row r="492" spans="3:4">
      <c r="C492" s="1334" t="s">
        <v>1136</v>
      </c>
      <c r="D492" s="1069" t="s">
        <v>1531</v>
      </c>
    </row>
    <row r="493" spans="3:4">
      <c r="D493" s="98" t="s">
        <v>1549</v>
      </c>
    </row>
    <row r="494" spans="3:4">
      <c r="C494" s="1334" t="s">
        <v>1136</v>
      </c>
      <c r="D494" s="1069" t="s">
        <v>1533</v>
      </c>
    </row>
    <row r="495" spans="3:4">
      <c r="D495" s="98" t="s">
        <v>1550</v>
      </c>
    </row>
    <row r="496" spans="3:4">
      <c r="D496" s="98" t="s">
        <v>1551</v>
      </c>
    </row>
    <row r="497" spans="2:16">
      <c r="C497" s="1334" t="s">
        <v>1136</v>
      </c>
      <c r="D497" s="98" t="s">
        <v>1542</v>
      </c>
    </row>
    <row r="498" spans="2:16">
      <c r="D498" s="98" t="s">
        <v>1543</v>
      </c>
    </row>
    <row r="499" spans="2:16">
      <c r="D499" s="98" t="s">
        <v>1552</v>
      </c>
    </row>
    <row r="500" spans="2:16">
      <c r="C500" s="1069"/>
      <c r="D500" s="1069" t="s">
        <v>1545</v>
      </c>
      <c r="G500" s="1069"/>
    </row>
    <row r="501" spans="2:16">
      <c r="C501" s="1069"/>
      <c r="D501" s="98" t="s">
        <v>1553</v>
      </c>
      <c r="G501" s="1069"/>
    </row>
    <row r="502" spans="2:16">
      <c r="C502" s="1069"/>
      <c r="D502" s="98" t="s">
        <v>1547</v>
      </c>
      <c r="G502" s="1069"/>
    </row>
    <row r="503" spans="2:16">
      <c r="C503" s="1069"/>
      <c r="D503" s="98" t="s">
        <v>1554</v>
      </c>
      <c r="G503" s="1069"/>
    </row>
    <row r="504" spans="2:16">
      <c r="C504" s="1069"/>
      <c r="G504" s="1069"/>
    </row>
    <row r="505" spans="2:16">
      <c r="C505" s="1069"/>
    </row>
    <row r="506" spans="2:16">
      <c r="C506" s="1069"/>
    </row>
    <row r="507" spans="2:16">
      <c r="C507" s="1336" t="s">
        <v>1560</v>
      </c>
    </row>
    <row r="508" spans="2:16">
      <c r="C508" s="1336" t="s">
        <v>1561</v>
      </c>
    </row>
    <row r="509" spans="2:16">
      <c r="C509" s="12"/>
      <c r="D509" s="35"/>
      <c r="E509" s="35"/>
      <c r="F509" s="35"/>
      <c r="G509" s="35"/>
      <c r="H509" s="35"/>
      <c r="I509" s="35"/>
      <c r="M509" s="35"/>
      <c r="N509" s="35"/>
      <c r="O509" s="35"/>
      <c r="P509" s="35"/>
    </row>
    <row r="510" spans="2:16">
      <c r="C510" s="198" t="s">
        <v>720</v>
      </c>
      <c r="D510" s="197" t="s">
        <v>389</v>
      </c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</row>
    <row r="511" spans="2:16" ht="18.600000000000001">
      <c r="B511" s="89"/>
      <c r="C511"/>
      <c r="D511" s="37" t="s">
        <v>738</v>
      </c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</row>
    <row r="512" spans="2:16">
      <c r="C512"/>
      <c r="D512" s="37" t="s">
        <v>739</v>
      </c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</row>
    <row r="513" spans="2:24">
      <c r="C513"/>
      <c r="D513" s="37" t="s">
        <v>701</v>
      </c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</row>
    <row r="514" spans="2:24">
      <c r="C514" s="37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/>
      <c r="O514"/>
      <c r="Q514"/>
    </row>
    <row r="515" spans="2:24">
      <c r="B515" s="105">
        <f>1+B385</f>
        <v>8</v>
      </c>
      <c r="D515" s="103" t="str">
        <f>"Übersicht "&amp;FIXED(B515,0)&amp;":"</f>
        <v>Übersicht 8:</v>
      </c>
      <c r="E515"/>
      <c r="F515"/>
      <c r="G515" s="91" t="s">
        <v>244</v>
      </c>
      <c r="H515" s="35"/>
      <c r="I515" s="35"/>
      <c r="J515" s="35"/>
      <c r="K515" s="35"/>
      <c r="L515" s="35"/>
      <c r="M515" s="35"/>
      <c r="N515"/>
      <c r="O515"/>
      <c r="Q515"/>
    </row>
    <row r="516" spans="2:24">
      <c r="C516" s="35"/>
      <c r="D516" s="35"/>
      <c r="E516"/>
      <c r="F516"/>
      <c r="G516" s="104" t="s">
        <v>742</v>
      </c>
      <c r="H516" s="35"/>
      <c r="I516" s="35"/>
      <c r="J516" s="35"/>
      <c r="K516" s="35"/>
      <c r="L516" s="35"/>
      <c r="M516" s="35"/>
      <c r="N516"/>
      <c r="O516"/>
      <c r="Q516"/>
    </row>
    <row r="517" spans="2:24">
      <c r="C517" s="37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/>
      <c r="O517"/>
      <c r="Q517"/>
    </row>
    <row r="518" spans="2:24">
      <c r="C518" s="37"/>
      <c r="D518" s="35"/>
      <c r="E518" s="35"/>
      <c r="F518" s="319" t="s">
        <v>740</v>
      </c>
      <c r="G518" s="40"/>
      <c r="H518" s="40"/>
      <c r="I518" s="40"/>
      <c r="J518" s="40"/>
      <c r="K518" s="40"/>
      <c r="L518" s="319" t="s">
        <v>741</v>
      </c>
      <c r="M518" s="40"/>
      <c r="N518" s="87"/>
      <c r="O518" s="87"/>
      <c r="P518" s="60"/>
      <c r="Q518" s="87"/>
    </row>
    <row r="519" spans="2:24">
      <c r="C519" s="37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/>
      <c r="O519"/>
      <c r="Q519"/>
      <c r="V519" s="154">
        <v>1000</v>
      </c>
      <c r="W519" s="289">
        <v>0</v>
      </c>
      <c r="X519" s="289" t="s">
        <v>247</v>
      </c>
    </row>
    <row r="520" spans="2:24">
      <c r="C520" s="37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/>
      <c r="O520"/>
      <c r="Q520"/>
      <c r="V520" s="33" t="s">
        <v>981</v>
      </c>
      <c r="W520" s="33">
        <v>0</v>
      </c>
      <c r="X520" s="33">
        <f>W520</f>
        <v>0</v>
      </c>
    </row>
    <row r="521" spans="2:24">
      <c r="C521" s="37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/>
      <c r="O521"/>
      <c r="Q521"/>
      <c r="V521" s="33" t="s">
        <v>245</v>
      </c>
      <c r="W521" s="33">
        <f>V519-W520</f>
        <v>1000</v>
      </c>
      <c r="X521" s="33">
        <v>0</v>
      </c>
    </row>
    <row r="522" spans="2:24">
      <c r="C522" s="37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/>
      <c r="O522"/>
      <c r="Q522"/>
      <c r="V522" s="33" t="s">
        <v>246</v>
      </c>
      <c r="W522" s="33">
        <f>(V519+W520)/2</f>
        <v>500</v>
      </c>
      <c r="X522" s="33">
        <f>W522</f>
        <v>500</v>
      </c>
    </row>
    <row r="523" spans="2:24">
      <c r="C523" s="37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/>
      <c r="O523"/>
      <c r="Q523"/>
    </row>
    <row r="524" spans="2:24">
      <c r="C524" s="37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/>
      <c r="O524"/>
      <c r="Q524"/>
      <c r="V524" s="154">
        <v>1000</v>
      </c>
      <c r="W524" s="289">
        <v>0</v>
      </c>
      <c r="X524" s="289" t="s">
        <v>247</v>
      </c>
    </row>
    <row r="525" spans="2:24">
      <c r="C525" s="37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/>
      <c r="O525"/>
      <c r="Q525"/>
      <c r="V525" s="33" t="s">
        <v>981</v>
      </c>
      <c r="W525" s="33">
        <v>200</v>
      </c>
      <c r="X525" s="33">
        <f>W525</f>
        <v>200</v>
      </c>
    </row>
    <row r="526" spans="2:24">
      <c r="C526" s="37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/>
      <c r="O526"/>
      <c r="Q526"/>
      <c r="V526" s="33" t="s">
        <v>245</v>
      </c>
      <c r="W526" s="33">
        <f>V524-W525</f>
        <v>800</v>
      </c>
      <c r="X526" s="33">
        <v>0</v>
      </c>
    </row>
    <row r="527" spans="2:24">
      <c r="C527" s="37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/>
      <c r="O527"/>
      <c r="Q527"/>
      <c r="V527" s="33" t="s">
        <v>246</v>
      </c>
      <c r="W527" s="33">
        <f>(V524+W525)/2</f>
        <v>600</v>
      </c>
      <c r="X527" s="33">
        <f>W527</f>
        <v>600</v>
      </c>
    </row>
    <row r="528" spans="2:24">
      <c r="C528" s="37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/>
      <c r="O528"/>
      <c r="Q528"/>
    </row>
    <row r="529" spans="2:18">
      <c r="C529" s="37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/>
      <c r="O529"/>
      <c r="Q529"/>
    </row>
    <row r="530" spans="2:18">
      <c r="C530" s="37"/>
      <c r="E530" s="7" t="s">
        <v>97</v>
      </c>
      <c r="F530" s="35"/>
      <c r="G530" s="35"/>
      <c r="H530" s="35"/>
      <c r="I530" s="35"/>
      <c r="J530" s="35"/>
      <c r="K530" s="35"/>
      <c r="L530" s="35"/>
      <c r="M530" s="35"/>
      <c r="N530" s="35"/>
      <c r="O530"/>
      <c r="P530"/>
      <c r="R530"/>
    </row>
    <row r="531" spans="2:18" ht="9" customHeight="1">
      <c r="C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</row>
    <row r="532" spans="2:18" ht="10.5" customHeight="1">
      <c r="C532"/>
      <c r="E532" s="87" t="s">
        <v>721</v>
      </c>
      <c r="F532" s="87"/>
      <c r="G532" s="87"/>
      <c r="H532" s="87"/>
      <c r="I532" s="87"/>
      <c r="J532" s="87"/>
      <c r="K532"/>
      <c r="L532"/>
      <c r="M532" s="87" t="s">
        <v>722</v>
      </c>
      <c r="N532" s="87"/>
      <c r="O532" s="87"/>
      <c r="P532" s="87"/>
      <c r="Q532" s="43"/>
    </row>
    <row r="533" spans="2:18" ht="10.5" customHeight="1">
      <c r="C533"/>
      <c r="E533" s="109" t="s">
        <v>723</v>
      </c>
      <c r="F533" s="87"/>
      <c r="G533" s="87"/>
      <c r="H533" s="87"/>
      <c r="I533" s="87"/>
      <c r="J533" s="87"/>
      <c r="K533" s="84" t="s">
        <v>724</v>
      </c>
      <c r="L533"/>
      <c r="M533" s="109" t="s">
        <v>723</v>
      </c>
      <c r="N533" s="87"/>
      <c r="O533" s="87"/>
      <c r="P533" s="87"/>
      <c r="Q533" s="40"/>
    </row>
    <row r="534" spans="2:18" ht="10.5" customHeight="1">
      <c r="E534" s="87">
        <v>2</v>
      </c>
      <c r="F534" s="87"/>
      <c r="G534" s="87"/>
      <c r="H534" s="87"/>
      <c r="I534" s="87"/>
      <c r="J534" s="87"/>
      <c r="K534"/>
      <c r="L534"/>
      <c r="M534" s="109" t="s">
        <v>725</v>
      </c>
      <c r="N534" s="87"/>
      <c r="O534" s="87"/>
      <c r="P534" s="87"/>
      <c r="Q534" s="60"/>
    </row>
    <row r="535" spans="2:18" ht="18.600000000000001">
      <c r="B535" s="89"/>
      <c r="C535"/>
      <c r="E535" s="36" t="s">
        <v>744</v>
      </c>
      <c r="F535" s="35"/>
      <c r="G535" s="35"/>
      <c r="H535" s="35"/>
      <c r="I535" s="35"/>
      <c r="J535" s="35"/>
      <c r="K535" s="35"/>
      <c r="L535" s="35"/>
      <c r="M535" s="35"/>
      <c r="N535" s="35"/>
      <c r="O535"/>
      <c r="P535"/>
      <c r="R535"/>
    </row>
    <row r="536" spans="2:18">
      <c r="C536" s="37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/>
      <c r="P536"/>
      <c r="R536"/>
    </row>
    <row r="537" spans="2:18">
      <c r="C537" s="37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/>
      <c r="O537"/>
      <c r="Q537"/>
    </row>
    <row r="538" spans="2:18">
      <c r="C538" s="198" t="s">
        <v>726</v>
      </c>
      <c r="D538" s="197" t="s">
        <v>393</v>
      </c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7"/>
      <c r="P538" s="35"/>
    </row>
    <row r="539" spans="2:18" ht="18.600000000000001">
      <c r="B539" s="89"/>
      <c r="D539" s="37" t="s">
        <v>727</v>
      </c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</row>
    <row r="540" spans="2:18">
      <c r="D540" s="37" t="s">
        <v>728</v>
      </c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</row>
    <row r="541" spans="2:18">
      <c r="D541" s="36" t="s">
        <v>729</v>
      </c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</row>
    <row r="542" spans="2:18">
      <c r="D542" s="37" t="s">
        <v>749</v>
      </c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</row>
    <row r="543" spans="2:18">
      <c r="D543" s="49" t="s">
        <v>840</v>
      </c>
      <c r="E543" s="35" t="s">
        <v>750</v>
      </c>
      <c r="F543" s="35"/>
      <c r="G543" s="35"/>
      <c r="H543" s="35"/>
      <c r="I543" s="35"/>
      <c r="J543" s="35"/>
      <c r="K543" s="35"/>
      <c r="L543" s="35"/>
      <c r="M543" s="35"/>
      <c r="N543" s="35"/>
      <c r="O543" s="35"/>
    </row>
    <row r="544" spans="2:18">
      <c r="D544" s="49" t="s">
        <v>840</v>
      </c>
      <c r="E544" s="35" t="s">
        <v>751</v>
      </c>
      <c r="F544" s="35"/>
      <c r="G544" s="35"/>
      <c r="H544" s="35"/>
      <c r="I544" s="35"/>
      <c r="J544" s="35"/>
      <c r="K544" s="35"/>
      <c r="L544" s="35"/>
      <c r="M544" s="35"/>
      <c r="N544" s="35"/>
      <c r="O544" s="35"/>
    </row>
    <row r="546" spans="2:16">
      <c r="B546" s="105">
        <f>1+B515</f>
        <v>9</v>
      </c>
      <c r="D546" s="103" t="str">
        <f>"Übersicht "&amp;FIXED(B546,0)&amp;":"</f>
        <v>Übersicht 9:</v>
      </c>
      <c r="E546"/>
      <c r="F546"/>
      <c r="G546" s="91" t="s">
        <v>244</v>
      </c>
      <c r="H546" s="35"/>
      <c r="I546" s="35"/>
      <c r="J546" s="35"/>
      <c r="K546" s="35"/>
      <c r="L546" s="35"/>
      <c r="M546" s="35"/>
      <c r="N546" s="35"/>
      <c r="O546" s="35"/>
      <c r="P546" s="35"/>
    </row>
    <row r="547" spans="2:16">
      <c r="C547" s="35"/>
      <c r="D547" s="35"/>
      <c r="E547"/>
      <c r="F547"/>
      <c r="G547" s="104" t="s">
        <v>743</v>
      </c>
      <c r="H547" s="35"/>
      <c r="I547" s="35"/>
      <c r="J547" s="35"/>
      <c r="K547" s="35"/>
      <c r="L547" s="35"/>
      <c r="M547" s="35"/>
      <c r="N547" s="35"/>
      <c r="O547" s="35"/>
      <c r="P547" s="35"/>
    </row>
    <row r="548" spans="2:16">
      <c r="C548" s="35"/>
      <c r="D548" s="35"/>
      <c r="E548"/>
      <c r="F548"/>
      <c r="G548"/>
      <c r="H548"/>
      <c r="I548"/>
      <c r="J548"/>
      <c r="K548"/>
      <c r="L548"/>
      <c r="M548"/>
      <c r="N548"/>
      <c r="O548"/>
    </row>
    <row r="549" spans="2:16">
      <c r="C549" s="35"/>
      <c r="D549" s="35"/>
      <c r="E549" s="238"/>
      <c r="F549" s="238"/>
      <c r="G549" s="245" t="s">
        <v>730</v>
      </c>
      <c r="H549" s="246"/>
      <c r="I549" s="246"/>
      <c r="J549" s="246"/>
      <c r="K549" s="246"/>
      <c r="L549" s="246"/>
      <c r="M549" s="246"/>
      <c r="N549" s="246"/>
      <c r="O549" s="246"/>
      <c r="P549" s="247"/>
    </row>
    <row r="550" spans="2:16">
      <c r="C550" s="35"/>
      <c r="D550" s="35"/>
      <c r="E550" s="238"/>
      <c r="F550" s="238"/>
      <c r="G550" s="254">
        <v>5</v>
      </c>
      <c r="H550" s="255">
        <v>10</v>
      </c>
      <c r="I550" s="255">
        <v>15</v>
      </c>
      <c r="J550" s="255">
        <v>20</v>
      </c>
      <c r="K550" s="255">
        <v>25</v>
      </c>
      <c r="L550" s="255">
        <v>30</v>
      </c>
      <c r="M550" s="255">
        <v>35</v>
      </c>
      <c r="N550" s="255">
        <v>40</v>
      </c>
      <c r="O550" s="255">
        <v>45</v>
      </c>
      <c r="P550" s="256">
        <v>50</v>
      </c>
    </row>
    <row r="551" spans="2:16">
      <c r="C551" s="35"/>
      <c r="D551" s="35"/>
      <c r="E551" s="1565" t="s">
        <v>1173</v>
      </c>
      <c r="F551" s="259">
        <f>'Progressive AfA'!J6</f>
        <v>0.02</v>
      </c>
      <c r="G551" s="260">
        <f>'Progressive AfA'!K6</f>
        <v>0.50659975434675864</v>
      </c>
      <c r="H551" s="261">
        <f>'Progressive AfA'!L6</f>
        <v>0.51484217569620194</v>
      </c>
      <c r="I551" s="261">
        <f>'Progressive AfA'!M6</f>
        <v>0.52306901173019327</v>
      </c>
      <c r="J551" s="261">
        <f>'Progressive AfA'!N6</f>
        <v>0.53127229168049439</v>
      </c>
      <c r="K551" s="261">
        <f>'Progressive AfA'!O6</f>
        <v>0.53944415468243823</v>
      </c>
      <c r="L551" s="261">
        <f>'Progressive AfA'!P6</f>
        <v>0.54757688516465919</v>
      </c>
      <c r="M551" s="261">
        <f>'Progressive AfA'!Q6</f>
        <v>0.55566294677257599</v>
      </c>
      <c r="N551" s="261">
        <f>'Progressive AfA'!R6</f>
        <v>0.56369501450475612</v>
      </c>
      <c r="O551" s="261">
        <f>'Progressive AfA'!S6</f>
        <v>0.5716660047718235</v>
      </c>
      <c r="P551" s="262">
        <f>'Progressive AfA'!T6</f>
        <v>0.57956910312238075</v>
      </c>
    </row>
    <row r="552" spans="2:16">
      <c r="C552" s="35"/>
      <c r="D552" s="35"/>
      <c r="E552" s="1566"/>
      <c r="F552" s="264">
        <f>'Progressive AfA'!J7</f>
        <v>0.03</v>
      </c>
      <c r="G552" s="265">
        <f>'Progressive AfA'!K7</f>
        <v>0.509849205571556</v>
      </c>
      <c r="H552" s="266">
        <f>'Progressive AfA'!L7</f>
        <v>0.52213656379271511</v>
      </c>
      <c r="I552" s="266">
        <f>'Progressive AfA'!M7</f>
        <v>0.53437230611316777</v>
      </c>
      <c r="J552" s="266">
        <f>'Progressive AfA'!N7</f>
        <v>0.54653039990029006</v>
      </c>
      <c r="K552" s="266">
        <f>'Progressive AfA'!O7</f>
        <v>0.55858561022845532</v>
      </c>
      <c r="L552" s="266">
        <f>'Progressive AfA'!P7</f>
        <v>0.57051374151352452</v>
      </c>
      <c r="M552" s="266">
        <f>'Progressive AfA'!Q7</f>
        <v>0.58229185642220582</v>
      </c>
      <c r="N552" s="266">
        <f>'Progressive AfA'!R7</f>
        <v>0.59389846798253243</v>
      </c>
      <c r="O552" s="266">
        <f>'Progressive AfA'!S7</f>
        <v>0.60531370178550414</v>
      </c>
      <c r="P552" s="267">
        <f>'Progressive AfA'!T7</f>
        <v>0.61651942619854627</v>
      </c>
    </row>
    <row r="553" spans="2:16">
      <c r="C553" s="35"/>
      <c r="D553" s="35"/>
      <c r="E553" s="1566"/>
      <c r="F553" s="264">
        <f>'Progressive AfA'!J8</f>
        <v>0.04</v>
      </c>
      <c r="G553" s="265">
        <f>'Progressive AfA'!K8</f>
        <v>0.51306486443820654</v>
      </c>
      <c r="H553" s="266">
        <f>'Progressive AfA'!L8</f>
        <v>0.5293396438667386</v>
      </c>
      <c r="I553" s="266">
        <f>'Progressive AfA'!M8</f>
        <v>0.54549453994468444</v>
      </c>
      <c r="J553" s="266">
        <f>'Progressive AfA'!N8</f>
        <v>0.56147024591973538</v>
      </c>
      <c r="K553" s="266">
        <f>'Progressive AfA'!O8</f>
        <v>0.57721064390515953</v>
      </c>
      <c r="L553" s="266">
        <f>'Progressive AfA'!P8</f>
        <v>0.59266368871761288</v>
      </c>
      <c r="M553" s="266">
        <f>'Progressive AfA'!Q8</f>
        <v>0.60778214089522231</v>
      </c>
      <c r="N553" s="266">
        <f>'Progressive AfA'!R8</f>
        <v>0.62252412986395633</v>
      </c>
      <c r="O553" s="266">
        <f>'Progressive AfA'!S8</f>
        <v>0.63685353814184642</v>
      </c>
      <c r="P553" s="267">
        <f>'Progressive AfA'!T8</f>
        <v>0.65074020709660607</v>
      </c>
    </row>
    <row r="554" spans="2:16">
      <c r="C554" s="35"/>
      <c r="D554" s="35"/>
      <c r="E554" s="1566"/>
      <c r="F554" s="264">
        <f>'Progressive AfA'!J9</f>
        <v>0.05</v>
      </c>
      <c r="G554" s="265">
        <f>'Progressive AfA'!K9</f>
        <v>0.51624663547113592</v>
      </c>
      <c r="H554" s="266">
        <f>'Progressive AfA'!L9</f>
        <v>0.53644681755375834</v>
      </c>
      <c r="I554" s="266">
        <f>'Progressive AfA'!M9</f>
        <v>0.5564178926733323</v>
      </c>
      <c r="J554" s="266">
        <f>'Progressive AfA'!N9</f>
        <v>0.57604927982269194</v>
      </c>
      <c r="K554" s="266">
        <f>'Progressive AfA'!O9</f>
        <v>0.5952395634467238</v>
      </c>
      <c r="L554" s="266">
        <f>'Progressive AfA'!P9</f>
        <v>0.61389874348922457</v>
      </c>
      <c r="M554" s="266">
        <f>'Progressive AfA'!Q9</f>
        <v>0.63194986282207966</v>
      </c>
      <c r="N554" s="266">
        <f>'Progressive AfA'!R9</f>
        <v>0.64932997397141456</v>
      </c>
      <c r="O554" s="266">
        <f>'Progressive AfA'!S9</f>
        <v>0.66599046058995048</v>
      </c>
      <c r="P554" s="267">
        <f>'Progressive AfA'!T9</f>
        <v>0.68189677423012829</v>
      </c>
    </row>
    <row r="555" spans="2:16">
      <c r="C555" s="35"/>
      <c r="D555" s="35"/>
      <c r="E555" s="1566"/>
      <c r="F555" s="264">
        <f>'Progressive AfA'!J10</f>
        <v>6.0000000000000005E-2</v>
      </c>
      <c r="G555" s="265">
        <f>'Progressive AfA'!K10</f>
        <v>0.51939445043318921</v>
      </c>
      <c r="H555" s="266">
        <f>'Progressive AfA'!L10</f>
        <v>0.54345391243005758</v>
      </c>
      <c r="I555" s="266">
        <f>'Progressive AfA'!M10</f>
        <v>0.56712652013509424</v>
      </c>
      <c r="J555" s="266">
        <f>'Progressive AfA'!N10</f>
        <v>0.59023106312462592</v>
      </c>
      <c r="K555" s="266">
        <f>'Progressive AfA'!O10</f>
        <v>0.61260766365823693</v>
      </c>
      <c r="L555" s="266">
        <f>'Progressive AfA'!P10</f>
        <v>0.63412222833409504</v>
      </c>
      <c r="M555" s="266">
        <f>'Progressive AfA'!Q10</f>
        <v>0.65466901124454402</v>
      </c>
      <c r="N555" s="266">
        <f>'Progressive AfA'!R10</f>
        <v>0.67417131578334166</v>
      </c>
      <c r="O555" s="266">
        <f>'Progressive AfA'!S10</f>
        <v>0.69258054799637792</v>
      </c>
      <c r="P555" s="267">
        <f>'Progressive AfA'!T10</f>
        <v>0.70987396035729067</v>
      </c>
    </row>
    <row r="556" spans="2:16">
      <c r="C556" s="35"/>
      <c r="D556" s="35"/>
      <c r="E556" s="1566"/>
      <c r="F556" s="264">
        <f>'Progressive AfA'!J11</f>
        <v>7.0000000000000007E-2</v>
      </c>
      <c r="G556" s="265">
        <f>'Progressive AfA'!K11</f>
        <v>0.52250826715921506</v>
      </c>
      <c r="H556" s="266">
        <f>'Progressive AfA'!L11</f>
        <v>0.55035717827746378</v>
      </c>
      <c r="I556" s="266">
        <f>'Progressive AfA'!M11</f>
        <v>0.57760658081705152</v>
      </c>
      <c r="J556" s="266">
        <f>'Progressive AfA'!N11</f>
        <v>0.60398538426198189</v>
      </c>
      <c r="K556" s="266">
        <f>'Progressive AfA'!O11</f>
        <v>0.62926534643771492</v>
      </c>
      <c r="L556" s="266">
        <f>'Progressive AfA'!P11</f>
        <v>0.65326825130568411</v>
      </c>
      <c r="M556" s="266">
        <f>'Progressive AfA'!Q11</f>
        <v>0.67586848718853809</v>
      </c>
      <c r="N556" s="266">
        <f>'Progressive AfA'!R11</f>
        <v>0.69699148255902876</v>
      </c>
      <c r="O556" s="266">
        <f>'Progressive AfA'!S11</f>
        <v>0.71660891141833272</v>
      </c>
      <c r="P556" s="267">
        <f>'Progressive AfA'!T11</f>
        <v>0.73473178626901581</v>
      </c>
    </row>
    <row r="557" spans="2:16">
      <c r="C557" s="35"/>
      <c r="D557" s="35"/>
      <c r="E557" s="1566"/>
      <c r="F557" s="264">
        <f>'Progressive AfA'!J12</f>
        <v>0.08</v>
      </c>
      <c r="G557" s="265">
        <f>'Progressive AfA'!K12</f>
        <v>0.52558806840454786</v>
      </c>
      <c r="H557" s="266">
        <f>'Progressive AfA'!L12</f>
        <v>0.55715328064858449</v>
      </c>
      <c r="I557" s="266">
        <f>'Progressive AfA'!M12</f>
        <v>0.58784622971898481</v>
      </c>
      <c r="J557" s="266">
        <f>'Progressive AfA'!N12</f>
        <v>0.61728820027560272</v>
      </c>
      <c r="K557" s="266">
        <f>'Progressive AfA'!O12</f>
        <v>0.64517763283615537</v>
      </c>
      <c r="L557" s="266">
        <f>'Progressive AfA'!P12</f>
        <v>0.67129959742668088</v>
      </c>
      <c r="M557" s="266">
        <f>'Progressive AfA'!Q12</f>
        <v>0.69552578459159609</v>
      </c>
      <c r="N557" s="266">
        <f>'Progressive AfA'!R12</f>
        <v>0.71780684756811319</v>
      </c>
      <c r="O557" s="266">
        <f>'Progressive AfA'!S12</f>
        <v>0.73815972916146844</v>
      </c>
      <c r="P557" s="267">
        <f>'Progressive AfA'!T12</f>
        <v>0.75665267354921184</v>
      </c>
    </row>
    <row r="558" spans="2:16">
      <c r="C558" s="35"/>
      <c r="D558" s="35"/>
      <c r="E558" s="1566"/>
      <c r="F558" s="264">
        <f>'Progressive AfA'!J13</f>
        <v>0.09</v>
      </c>
      <c r="G558" s="265">
        <f>'Progressive AfA'!K13</f>
        <v>0.5286338607106017</v>
      </c>
      <c r="H558" s="266">
        <f>'Progressive AfA'!L13</f>
        <v>0.56383929201044258</v>
      </c>
      <c r="I558" s="266">
        <f>'Progressive AfA'!M13</f>
        <v>0.5978355831629526</v>
      </c>
      <c r="J558" s="266">
        <f>'Progressive AfA'!N13</f>
        <v>0.63012142865851051</v>
      </c>
      <c r="K558" s="266">
        <f>'Progressive AfA'!O13</f>
        <v>0.66032318930098122</v>
      </c>
      <c r="L558" s="266">
        <f>'Progressive AfA'!P13</f>
        <v>0.68820449524254224</v>
      </c>
      <c r="M558" s="266">
        <f>'Progressive AfA'!Q13</f>
        <v>0.71365873814745928</v>
      </c>
      <c r="N558" s="266">
        <f>'Progressive AfA'!R13</f>
        <v>0.73668953085199895</v>
      </c>
      <c r="O558" s="266">
        <f>'Progressive AfA'!S13</f>
        <v>0.7573850997862468</v>
      </c>
      <c r="P558" s="267">
        <f>'Progressive AfA'!T13</f>
        <v>0.77589180917869438</v>
      </c>
    </row>
    <row r="559" spans="2:16" ht="14.25" customHeight="1">
      <c r="C559" s="35"/>
      <c r="D559" s="35"/>
      <c r="E559" s="1566"/>
      <c r="F559" s="264">
        <f>'Progressive AfA'!J14</f>
        <v>9.9999999999999992E-2</v>
      </c>
      <c r="G559" s="265">
        <f>'Progressive AfA'!K14</f>
        <v>0.53164567328954493</v>
      </c>
      <c r="H559" s="266">
        <f>'Progressive AfA'!L14</f>
        <v>0.57041268075010554</v>
      </c>
      <c r="I559" s="266">
        <f>'Progressive AfA'!M14</f>
        <v>0.60756665831911472</v>
      </c>
      <c r="J559" s="266">
        <f>'Progressive AfA'!N14</f>
        <v>0.64247261688138824</v>
      </c>
      <c r="K559" s="266">
        <f>'Progressive AfA'!O14</f>
        <v>0.67469300182712355</v>
      </c>
      <c r="L559" s="266">
        <f>'Progressive AfA'!P14</f>
        <v>0.70399272502548926</v>
      </c>
      <c r="M559" s="266">
        <f>'Progressive AfA'!Q14</f>
        <v>0.73031657755455637</v>
      </c>
      <c r="N559" s="266">
        <f>'Progressive AfA'!R14</f>
        <v>0.75375038453043275</v>
      </c>
      <c r="O559" s="266">
        <f>'Progressive AfA'!S14</f>
        <v>0.77447721979724393</v>
      </c>
      <c r="P559" s="267">
        <f>'Progressive AfA'!T14</f>
        <v>0.79273700045215889</v>
      </c>
    </row>
    <row r="560" spans="2:16">
      <c r="C560" s="35"/>
      <c r="D560" s="35"/>
      <c r="E560" s="1567"/>
      <c r="F560" s="279">
        <f>'Progressive AfA'!J15</f>
        <v>0.10999999999999999</v>
      </c>
      <c r="G560" s="280">
        <f>'Progressive AfA'!K15</f>
        <v>0.53462355692980668</v>
      </c>
      <c r="H560" s="281">
        <f>'Progressive AfA'!L15</f>
        <v>0.57687129832636641</v>
      </c>
      <c r="I560" s="281">
        <f>'Progressive AfA'!M15</f>
        <v>0.61703329144603825</v>
      </c>
      <c r="J560" s="281">
        <f>'Progressive AfA'!N15</f>
        <v>0.65433451841681545</v>
      </c>
      <c r="K560" s="281">
        <f>'Progressive AfA'!O15</f>
        <v>0.68828882914384293</v>
      </c>
      <c r="L560" s="281">
        <f>'Progressive AfA'!P15</f>
        <v>0.71869148219701917</v>
      </c>
      <c r="M560" s="281">
        <f>'Progressive AfA'!Q15</f>
        <v>0.74557124985077783</v>
      </c>
      <c r="N560" s="281">
        <f>'Progressive AfA'!R15</f>
        <v>0.76912396193718202</v>
      </c>
      <c r="O560" s="281">
        <f>'Progressive AfA'!S15</f>
        <v>0.78964612794156253</v>
      </c>
      <c r="P560" s="282">
        <f>'Progressive AfA'!T15</f>
        <v>0.80747988717148989</v>
      </c>
    </row>
    <row r="561" spans="3:32">
      <c r="C561" s="35"/>
      <c r="D561" s="35"/>
      <c r="E561"/>
      <c r="F561"/>
      <c r="G561"/>
      <c r="H561"/>
      <c r="I561"/>
      <c r="J561"/>
      <c r="K561"/>
      <c r="L561"/>
      <c r="M561"/>
      <c r="N561"/>
      <c r="O561"/>
      <c r="P561" s="35"/>
    </row>
    <row r="562" spans="3:32">
      <c r="C562" s="35"/>
      <c r="D562" s="35"/>
      <c r="E562"/>
      <c r="F562"/>
      <c r="G562"/>
      <c r="H562"/>
      <c r="I562"/>
      <c r="J562"/>
      <c r="K562"/>
      <c r="L562"/>
      <c r="M562"/>
      <c r="N562"/>
      <c r="O562"/>
      <c r="P562" s="35"/>
    </row>
    <row r="563" spans="3:32">
      <c r="C563" s="35"/>
      <c r="D563" s="35"/>
      <c r="E563"/>
      <c r="F563"/>
      <c r="G563"/>
      <c r="H563"/>
      <c r="I563"/>
      <c r="J563"/>
      <c r="K563"/>
      <c r="L563"/>
      <c r="M563"/>
      <c r="N563"/>
      <c r="O563"/>
      <c r="P563" s="35"/>
    </row>
    <row r="564" spans="3:32">
      <c r="C564" s="35"/>
      <c r="D564" s="35"/>
      <c r="E564"/>
      <c r="F564"/>
      <c r="G564"/>
      <c r="H564"/>
      <c r="I564"/>
      <c r="J564"/>
      <c r="K564"/>
      <c r="L564"/>
      <c r="M564"/>
      <c r="N564"/>
      <c r="O564"/>
      <c r="P564" s="35"/>
    </row>
    <row r="565" spans="3:32">
      <c r="C565" s="35"/>
      <c r="D565" s="35"/>
      <c r="E565"/>
      <c r="F565"/>
      <c r="G565"/>
      <c r="H565"/>
      <c r="I565"/>
      <c r="J565"/>
      <c r="K565"/>
      <c r="L565"/>
      <c r="M565"/>
      <c r="N565"/>
      <c r="O565"/>
      <c r="P565" s="35"/>
    </row>
    <row r="566" spans="3:32">
      <c r="C566" s="35"/>
      <c r="D566" s="35"/>
      <c r="E566"/>
      <c r="F566"/>
      <c r="G566"/>
      <c r="H566"/>
      <c r="I566"/>
      <c r="J566"/>
      <c r="K566"/>
      <c r="L566"/>
      <c r="M566"/>
      <c r="N566"/>
      <c r="O566"/>
      <c r="P566" s="35"/>
    </row>
    <row r="567" spans="3:32">
      <c r="C567" s="35"/>
      <c r="D567" s="35"/>
      <c r="E567"/>
      <c r="F567"/>
      <c r="G567"/>
      <c r="H567"/>
      <c r="I567"/>
      <c r="J567"/>
      <c r="K567"/>
      <c r="L567"/>
      <c r="M567"/>
      <c r="N567"/>
      <c r="O567"/>
      <c r="P567" s="35"/>
    </row>
    <row r="568" spans="3:32">
      <c r="C568" s="35"/>
      <c r="D568" s="35"/>
      <c r="E568"/>
      <c r="F568"/>
      <c r="G568"/>
      <c r="H568"/>
      <c r="I568"/>
      <c r="J568"/>
      <c r="K568"/>
      <c r="L568"/>
      <c r="M568"/>
      <c r="N568"/>
      <c r="O568"/>
      <c r="P568" s="35"/>
    </row>
    <row r="569" spans="3:32">
      <c r="C569" s="35"/>
      <c r="D569" s="35"/>
      <c r="E569"/>
      <c r="F569"/>
      <c r="G569"/>
      <c r="H569"/>
      <c r="I569"/>
      <c r="J569"/>
      <c r="K569"/>
      <c r="L569"/>
      <c r="M569"/>
      <c r="N569"/>
      <c r="O569"/>
      <c r="P569" s="35"/>
    </row>
    <row r="570" spans="3:32">
      <c r="C570" s="35"/>
      <c r="D570" s="35"/>
      <c r="E570"/>
      <c r="F570"/>
      <c r="G570"/>
      <c r="H570"/>
      <c r="I570"/>
      <c r="J570"/>
      <c r="K570"/>
      <c r="L570"/>
      <c r="M570"/>
      <c r="N570"/>
      <c r="O570"/>
      <c r="P570" s="35"/>
    </row>
    <row r="571" spans="3:32">
      <c r="C571" s="35"/>
      <c r="D571" s="35"/>
      <c r="E571"/>
      <c r="F571"/>
      <c r="G571"/>
      <c r="H571"/>
      <c r="I571"/>
      <c r="J571"/>
      <c r="K571"/>
      <c r="L571"/>
      <c r="M571"/>
      <c r="N571"/>
      <c r="O571"/>
      <c r="P571" s="35"/>
    </row>
    <row r="572" spans="3:32">
      <c r="C572" s="35"/>
      <c r="D572" s="35"/>
      <c r="E572"/>
      <c r="F572"/>
      <c r="G572"/>
      <c r="H572"/>
      <c r="I572"/>
      <c r="J572"/>
      <c r="K572"/>
      <c r="L572"/>
      <c r="M572"/>
      <c r="N572"/>
      <c r="O572"/>
      <c r="P572" s="35"/>
    </row>
    <row r="573" spans="3:32">
      <c r="C573" s="35"/>
      <c r="D573" s="35"/>
      <c r="E573"/>
      <c r="F573"/>
      <c r="G573"/>
      <c r="H573"/>
      <c r="I573"/>
      <c r="J573"/>
      <c r="K573"/>
      <c r="L573"/>
      <c r="M573"/>
      <c r="N573"/>
      <c r="O573"/>
      <c r="P573" s="35"/>
    </row>
    <row r="574" spans="3:32">
      <c r="C574" s="35"/>
      <c r="D574" s="35"/>
      <c r="E574"/>
      <c r="F574"/>
      <c r="G574"/>
      <c r="H574"/>
      <c r="I574"/>
      <c r="J574"/>
      <c r="K574"/>
      <c r="L574"/>
      <c r="M574"/>
      <c r="N574"/>
      <c r="O574"/>
      <c r="P574" s="35"/>
      <c r="T574" s="238"/>
      <c r="U574" s="238"/>
      <c r="V574" s="238"/>
      <c r="W574" s="238"/>
      <c r="X574" s="238"/>
      <c r="Y574" s="238"/>
      <c r="Z574" s="238"/>
      <c r="AA574" s="238"/>
      <c r="AB574" s="238"/>
      <c r="AC574" s="238"/>
      <c r="AD574" s="238"/>
      <c r="AE574" s="238"/>
      <c r="AF574" s="238"/>
    </row>
    <row r="575" spans="3:32">
      <c r="C575" s="35"/>
      <c r="D575" s="35"/>
      <c r="E575"/>
      <c r="F575"/>
      <c r="G575"/>
      <c r="H575"/>
      <c r="I575"/>
      <c r="J575"/>
      <c r="K575"/>
      <c r="L575"/>
      <c r="M575"/>
      <c r="N575"/>
      <c r="O575"/>
      <c r="P575" s="35"/>
      <c r="T575" s="238"/>
      <c r="U575" s="238"/>
      <c r="V575" s="238"/>
      <c r="W575" s="238"/>
      <c r="X575" s="238"/>
      <c r="Y575" s="238"/>
      <c r="Z575" s="238"/>
      <c r="AA575" s="238"/>
      <c r="AB575" s="238"/>
      <c r="AC575" s="238"/>
      <c r="AD575" s="238"/>
      <c r="AE575" s="238"/>
      <c r="AF575" s="238"/>
    </row>
    <row r="576" spans="3:32">
      <c r="C576" s="35"/>
      <c r="D576" s="35"/>
      <c r="E576"/>
      <c r="F576"/>
      <c r="G576"/>
      <c r="H576"/>
      <c r="I576"/>
      <c r="J576"/>
      <c r="K576"/>
      <c r="L576"/>
      <c r="M576"/>
      <c r="N576"/>
      <c r="O576"/>
      <c r="P576" s="35"/>
      <c r="T576" s="238"/>
      <c r="U576" s="238"/>
      <c r="V576" s="238"/>
      <c r="W576" s="238"/>
      <c r="X576" s="238"/>
      <c r="Y576" s="238"/>
      <c r="Z576" s="238"/>
      <c r="AA576" s="238"/>
      <c r="AB576" s="238"/>
      <c r="AC576" s="238"/>
      <c r="AD576" s="238"/>
      <c r="AE576" s="238"/>
      <c r="AF576" s="238"/>
    </row>
    <row r="577" spans="2:32">
      <c r="C577" s="35"/>
      <c r="D577" s="35"/>
      <c r="E577"/>
      <c r="F577"/>
      <c r="G577"/>
      <c r="H577"/>
      <c r="I577"/>
      <c r="J577"/>
      <c r="K577"/>
      <c r="L577"/>
      <c r="M577"/>
      <c r="N577"/>
      <c r="O577"/>
      <c r="P577" s="35"/>
      <c r="T577" s="238"/>
      <c r="U577" s="238"/>
      <c r="V577" s="238"/>
      <c r="W577" s="238"/>
      <c r="X577" s="238"/>
      <c r="Y577" s="238"/>
      <c r="Z577" s="238"/>
      <c r="AA577" s="238"/>
      <c r="AB577" s="238"/>
      <c r="AC577" s="238"/>
      <c r="AD577" s="238"/>
      <c r="AE577" s="238"/>
      <c r="AF577" s="238"/>
    </row>
    <row r="578" spans="2:32">
      <c r="C578" s="35"/>
      <c r="D578" s="35"/>
      <c r="E578"/>
      <c r="F578"/>
      <c r="G578"/>
      <c r="H578"/>
      <c r="I578"/>
      <c r="J578"/>
      <c r="K578"/>
      <c r="L578"/>
      <c r="M578"/>
      <c r="N578"/>
      <c r="O578"/>
      <c r="P578" s="35"/>
      <c r="T578" s="238"/>
      <c r="U578" s="238"/>
      <c r="V578" s="238"/>
      <c r="W578" s="238"/>
      <c r="X578" s="238"/>
      <c r="Y578" s="238"/>
      <c r="Z578" s="238"/>
      <c r="AA578" s="238"/>
      <c r="AB578" s="238"/>
      <c r="AC578" s="238"/>
      <c r="AD578" s="238"/>
      <c r="AE578" s="238"/>
      <c r="AF578" s="238"/>
    </row>
    <row r="579" spans="2:32">
      <c r="C579" s="35"/>
      <c r="D579" s="35"/>
      <c r="E579"/>
      <c r="F579"/>
      <c r="G579"/>
      <c r="H579"/>
      <c r="I579"/>
      <c r="J579"/>
      <c r="K579"/>
      <c r="L579"/>
      <c r="M579"/>
      <c r="N579"/>
      <c r="O579"/>
      <c r="P579" s="35"/>
      <c r="T579" s="238"/>
      <c r="U579" s="238"/>
      <c r="V579" s="238"/>
      <c r="W579" s="238"/>
      <c r="X579" s="238"/>
      <c r="Y579" s="238"/>
      <c r="Z579" s="238"/>
      <c r="AA579" s="238"/>
      <c r="AB579" s="238"/>
      <c r="AC579" s="238"/>
      <c r="AD579" s="238"/>
      <c r="AE579" s="238"/>
      <c r="AF579" s="238"/>
    </row>
    <row r="580" spans="2:32">
      <c r="C580" s="198" t="s">
        <v>745</v>
      </c>
      <c r="D580" s="197" t="s">
        <v>563</v>
      </c>
      <c r="E580" s="35"/>
      <c r="F580" s="35"/>
      <c r="G580" s="35"/>
      <c r="H580" s="35"/>
      <c r="I580" s="35"/>
      <c r="J580" s="35"/>
      <c r="K580" s="35"/>
      <c r="L580"/>
      <c r="M580"/>
      <c r="N580"/>
      <c r="O580"/>
      <c r="P580" s="35"/>
      <c r="T580" s="238"/>
      <c r="U580" s="238"/>
      <c r="V580" s="238"/>
      <c r="W580" s="238"/>
      <c r="X580" s="238"/>
      <c r="Y580" s="238"/>
      <c r="Z580" s="238"/>
      <c r="AA580" s="238"/>
      <c r="AB580" s="238"/>
      <c r="AC580" s="238"/>
      <c r="AD580" s="238"/>
      <c r="AE580" s="238"/>
      <c r="AF580" s="238"/>
    </row>
    <row r="581" spans="2:32" ht="18.600000000000001">
      <c r="B581" s="89"/>
      <c r="D581" s="37" t="s">
        <v>953</v>
      </c>
      <c r="E581" s="35"/>
      <c r="F581" s="35"/>
      <c r="G581" s="35"/>
      <c r="H581" s="35"/>
      <c r="I581" s="35"/>
      <c r="J581" s="35"/>
      <c r="K581" s="35"/>
      <c r="L581"/>
      <c r="M581"/>
      <c r="N581"/>
      <c r="O581"/>
      <c r="P581" s="35"/>
      <c r="T581" s="238"/>
      <c r="U581" s="238"/>
      <c r="V581" s="238"/>
      <c r="W581" s="238"/>
      <c r="X581" s="238"/>
      <c r="Y581" s="238"/>
      <c r="Z581" s="238"/>
      <c r="AA581" s="238"/>
      <c r="AB581" s="238"/>
      <c r="AC581" s="238"/>
      <c r="AD581" s="238"/>
      <c r="AE581" s="238"/>
      <c r="AF581" s="238"/>
    </row>
    <row r="582" spans="2:32">
      <c r="D582" s="37" t="s">
        <v>746</v>
      </c>
      <c r="E582" s="35"/>
      <c r="F582" s="35"/>
      <c r="G582" s="35"/>
      <c r="H582" s="35"/>
      <c r="I582" s="35"/>
      <c r="J582" s="35"/>
      <c r="K582" s="35"/>
      <c r="L582"/>
      <c r="M582"/>
      <c r="N582"/>
      <c r="O582"/>
      <c r="P582" s="35"/>
      <c r="T582" s="238"/>
      <c r="U582" s="238"/>
      <c r="V582" s="238"/>
      <c r="W582" s="238"/>
      <c r="X582" s="238"/>
      <c r="Y582" s="238"/>
      <c r="Z582" s="238"/>
      <c r="AA582" s="238"/>
      <c r="AB582" s="238"/>
      <c r="AC582" s="238"/>
      <c r="AD582" s="238"/>
      <c r="AE582" s="238"/>
      <c r="AF582" s="238"/>
    </row>
    <row r="583" spans="2:32">
      <c r="D583" s="37" t="s">
        <v>748</v>
      </c>
      <c r="E583" s="35"/>
      <c r="F583" s="35"/>
      <c r="G583" s="35"/>
      <c r="H583" s="35"/>
      <c r="I583" s="35"/>
      <c r="J583" s="35"/>
      <c r="K583" s="35"/>
      <c r="L583"/>
      <c r="M583"/>
      <c r="N583"/>
      <c r="O583"/>
      <c r="P583" s="35"/>
      <c r="T583" s="238"/>
      <c r="U583" s="238"/>
      <c r="V583" s="238"/>
      <c r="W583" s="238"/>
      <c r="X583" s="238"/>
      <c r="Y583" s="238"/>
      <c r="Z583" s="238"/>
      <c r="AA583" s="238"/>
      <c r="AB583" s="238"/>
      <c r="AC583" s="238"/>
      <c r="AD583" s="238"/>
      <c r="AE583" s="238"/>
      <c r="AF583" s="238"/>
    </row>
    <row r="584" spans="2:32">
      <c r="L584"/>
      <c r="M584"/>
      <c r="N584"/>
      <c r="O584"/>
      <c r="P584" s="35"/>
      <c r="T584" s="238"/>
      <c r="U584" s="238"/>
      <c r="V584" s="238"/>
      <c r="W584" s="238"/>
      <c r="X584" s="238"/>
      <c r="Y584" s="238"/>
      <c r="Z584" s="238"/>
      <c r="AA584" s="238"/>
      <c r="AB584" s="238"/>
      <c r="AC584" s="238"/>
      <c r="AD584" s="238"/>
      <c r="AE584" s="238"/>
      <c r="AF584" s="238"/>
    </row>
    <row r="585" spans="2:32">
      <c r="B585" s="105">
        <f>1+B546</f>
        <v>10</v>
      </c>
      <c r="C585" s="103" t="str">
        <f>"Übersicht "&amp;FIXED(B585,0)&amp;":"</f>
        <v>Übersicht 10:</v>
      </c>
      <c r="E585"/>
      <c r="F585"/>
      <c r="G585" s="91" t="s">
        <v>244</v>
      </c>
      <c r="H585" s="35"/>
      <c r="I585" s="35"/>
      <c r="J585" s="35"/>
      <c r="K585" s="35"/>
      <c r="L585"/>
      <c r="M585"/>
      <c r="N585"/>
      <c r="O585"/>
      <c r="P585" s="35"/>
      <c r="T585" s="238"/>
      <c r="U585" s="238"/>
      <c r="V585" s="238"/>
      <c r="W585" s="238"/>
      <c r="X585" s="238"/>
      <c r="Y585" s="238"/>
      <c r="Z585" s="238"/>
      <c r="AA585" s="238"/>
      <c r="AB585" s="238"/>
      <c r="AC585" s="238"/>
      <c r="AD585" s="238"/>
      <c r="AE585" s="238"/>
      <c r="AF585" s="238"/>
    </row>
    <row r="586" spans="2:32">
      <c r="C586" s="35"/>
      <c r="D586" s="35"/>
      <c r="E586"/>
      <c r="F586"/>
      <c r="G586" s="104" t="s">
        <v>747</v>
      </c>
      <c r="H586" s="35"/>
      <c r="I586" s="35"/>
      <c r="J586" s="35"/>
      <c r="K586" s="35"/>
      <c r="L586"/>
      <c r="M586"/>
      <c r="N586"/>
      <c r="O586"/>
      <c r="P586" s="35"/>
      <c r="T586" s="238"/>
      <c r="U586" s="238"/>
      <c r="V586" s="238"/>
      <c r="W586" s="238"/>
      <c r="X586" s="238"/>
      <c r="Y586" s="238"/>
      <c r="Z586" s="238"/>
      <c r="AA586" s="238"/>
      <c r="AB586" s="238"/>
      <c r="AC586" s="238"/>
      <c r="AD586" s="238"/>
      <c r="AE586" s="238"/>
      <c r="AF586" s="238"/>
    </row>
    <row r="587" spans="2:32">
      <c r="C587" s="35"/>
      <c r="D587" s="35"/>
      <c r="E587"/>
      <c r="F587"/>
      <c r="G587"/>
      <c r="H587"/>
      <c r="I587"/>
      <c r="J587"/>
      <c r="K587"/>
      <c r="L587"/>
      <c r="M587"/>
      <c r="N587"/>
      <c r="O587"/>
      <c r="P587" s="35"/>
      <c r="T587" s="238"/>
      <c r="U587" s="238"/>
      <c r="V587" s="238"/>
      <c r="W587" s="238"/>
      <c r="X587" s="238"/>
      <c r="Y587" s="238"/>
      <c r="Z587" s="238"/>
      <c r="AA587" s="238"/>
      <c r="AB587" s="238"/>
      <c r="AC587" s="238"/>
      <c r="AD587" s="238"/>
      <c r="AE587" s="238"/>
      <c r="AF587" s="238"/>
    </row>
    <row r="588" spans="2:32">
      <c r="C588" s="35"/>
      <c r="D588" s="35"/>
      <c r="E588"/>
      <c r="F588"/>
      <c r="G588"/>
      <c r="H588"/>
      <c r="I588"/>
      <c r="J588"/>
      <c r="K588"/>
      <c r="L588"/>
      <c r="M588"/>
      <c r="N588"/>
      <c r="O588"/>
      <c r="P588" s="35"/>
      <c r="T588" s="238"/>
      <c r="U588" s="238"/>
      <c r="V588" s="238"/>
      <c r="W588" s="238"/>
      <c r="X588" s="238"/>
      <c r="Y588" s="238"/>
      <c r="Z588" s="238"/>
      <c r="AA588" s="238"/>
      <c r="AB588" s="238"/>
      <c r="AC588" s="238"/>
      <c r="AD588" s="238"/>
      <c r="AE588" s="238"/>
      <c r="AF588" s="238"/>
    </row>
    <row r="589" spans="2:32">
      <c r="C589" s="35"/>
      <c r="D589" s="35"/>
      <c r="E589"/>
      <c r="F589"/>
      <c r="G589"/>
      <c r="H589"/>
      <c r="I589"/>
      <c r="J589"/>
      <c r="K589"/>
      <c r="L589"/>
      <c r="M589"/>
      <c r="N589"/>
      <c r="O589"/>
      <c r="P589" s="35"/>
      <c r="T589" s="238"/>
      <c r="U589" s="238"/>
      <c r="V589" s="238"/>
      <c r="W589" s="238"/>
      <c r="X589" s="238"/>
      <c r="Y589" s="238"/>
      <c r="Z589" s="238"/>
      <c r="AA589" s="238"/>
      <c r="AB589" s="238"/>
      <c r="AC589" s="238"/>
      <c r="AD589" s="238"/>
      <c r="AE589" s="238"/>
      <c r="AF589" s="238"/>
    </row>
    <row r="590" spans="2:32">
      <c r="C590" s="35"/>
      <c r="D590" s="35"/>
      <c r="E590"/>
      <c r="F590"/>
      <c r="G590"/>
      <c r="H590"/>
      <c r="I590"/>
      <c r="J590"/>
      <c r="K590"/>
      <c r="L590"/>
      <c r="M590"/>
      <c r="N590"/>
      <c r="O590"/>
      <c r="P590" s="35"/>
      <c r="T590" s="238"/>
      <c r="U590" s="238"/>
      <c r="V590" s="238"/>
      <c r="W590" s="238"/>
      <c r="X590" s="238"/>
      <c r="Y590" s="238"/>
      <c r="Z590" s="238"/>
      <c r="AA590" s="238"/>
      <c r="AB590" s="238"/>
      <c r="AC590" s="238"/>
      <c r="AD590" s="238"/>
      <c r="AE590" s="238"/>
      <c r="AF590" s="238"/>
    </row>
    <row r="591" spans="2:32">
      <c r="C591" s="35"/>
      <c r="D591" s="35"/>
      <c r="E591"/>
      <c r="F591"/>
      <c r="G591"/>
      <c r="H591"/>
      <c r="I591"/>
      <c r="J591"/>
      <c r="K591"/>
      <c r="L591"/>
      <c r="M591"/>
      <c r="N591"/>
      <c r="O591"/>
      <c r="P591" s="35"/>
      <c r="T591" s="238"/>
      <c r="U591" s="238"/>
      <c r="V591" s="238"/>
      <c r="W591" s="238"/>
      <c r="X591" s="238"/>
      <c r="Y591" s="238"/>
      <c r="Z591" s="238"/>
      <c r="AA591" s="238"/>
      <c r="AB591" s="238"/>
      <c r="AC591" s="238"/>
      <c r="AD591" s="238"/>
      <c r="AE591" s="238"/>
      <c r="AF591" s="238"/>
    </row>
    <row r="592" spans="2:32">
      <c r="C592" s="35"/>
      <c r="D592" s="35"/>
      <c r="E592"/>
      <c r="F592"/>
      <c r="G592"/>
      <c r="H592"/>
      <c r="I592"/>
      <c r="J592"/>
      <c r="K592"/>
      <c r="L592"/>
      <c r="M592"/>
      <c r="N592"/>
      <c r="O592"/>
      <c r="P592" s="35"/>
      <c r="T592" s="238"/>
      <c r="U592" s="238"/>
      <c r="V592" s="238"/>
      <c r="W592" s="238"/>
      <c r="X592" s="238"/>
      <c r="Y592" s="238"/>
      <c r="Z592" s="238"/>
      <c r="AA592" s="238"/>
      <c r="AB592" s="238"/>
      <c r="AC592" s="238"/>
      <c r="AD592" s="238"/>
      <c r="AE592" s="238"/>
      <c r="AF592" s="238"/>
    </row>
    <row r="593" spans="2:32">
      <c r="C593" s="35"/>
      <c r="D593" s="35"/>
      <c r="E593"/>
      <c r="F593"/>
      <c r="G593"/>
      <c r="H593"/>
      <c r="I593"/>
      <c r="J593"/>
      <c r="K593"/>
      <c r="L593"/>
      <c r="M593"/>
      <c r="N593"/>
      <c r="O593"/>
      <c r="P593" s="35"/>
      <c r="T593" s="238"/>
      <c r="U593" s="238"/>
      <c r="V593" s="238"/>
      <c r="W593" s="238"/>
      <c r="X593" s="238"/>
      <c r="Y593" s="238"/>
      <c r="Z593" s="238"/>
      <c r="AA593" s="238"/>
      <c r="AB593" s="238"/>
      <c r="AC593" s="238"/>
      <c r="AD593" s="238"/>
      <c r="AE593" s="238"/>
      <c r="AF593" s="238"/>
    </row>
    <row r="594" spans="2:32">
      <c r="C594" s="35"/>
      <c r="D594" s="35"/>
      <c r="E594"/>
      <c r="F594"/>
      <c r="G594"/>
      <c r="H594"/>
      <c r="I594"/>
      <c r="J594"/>
      <c r="K594"/>
      <c r="L594"/>
      <c r="M594"/>
      <c r="N594"/>
      <c r="O594"/>
      <c r="P594" s="35"/>
      <c r="T594" s="238"/>
      <c r="U594" s="238"/>
      <c r="V594" s="238"/>
      <c r="W594" s="238"/>
      <c r="X594" s="238"/>
      <c r="Y594" s="238"/>
      <c r="Z594" s="238"/>
      <c r="AA594" s="238"/>
      <c r="AB594" s="238"/>
      <c r="AC594" s="238"/>
      <c r="AD594" s="238"/>
      <c r="AE594" s="238"/>
      <c r="AF594" s="238"/>
    </row>
    <row r="595" spans="2:32">
      <c r="C595" s="35"/>
      <c r="D595" s="35"/>
      <c r="E595"/>
      <c r="F595"/>
      <c r="G595"/>
      <c r="H595"/>
      <c r="I595"/>
      <c r="J595"/>
      <c r="K595"/>
      <c r="L595"/>
      <c r="M595"/>
      <c r="N595"/>
      <c r="O595"/>
      <c r="P595" s="35"/>
      <c r="T595" s="238"/>
      <c r="U595" s="238"/>
      <c r="V595" s="238"/>
      <c r="W595" s="238"/>
      <c r="X595" s="238"/>
      <c r="Y595" s="238"/>
      <c r="Z595" s="238"/>
      <c r="AA595" s="238"/>
      <c r="AB595" s="238"/>
      <c r="AC595" s="238"/>
      <c r="AD595" s="238"/>
      <c r="AE595" s="238"/>
      <c r="AF595" s="238"/>
    </row>
    <row r="596" spans="2:32">
      <c r="C596" s="35"/>
      <c r="D596" s="35"/>
      <c r="E596"/>
      <c r="F596"/>
      <c r="G596"/>
      <c r="H596"/>
      <c r="I596"/>
      <c r="J596"/>
      <c r="K596"/>
      <c r="L596"/>
      <c r="M596"/>
      <c r="N596"/>
      <c r="O596"/>
      <c r="P596" s="35"/>
      <c r="T596" s="238"/>
      <c r="U596" s="238"/>
      <c r="V596" s="238"/>
      <c r="W596" s="238"/>
      <c r="X596" s="238"/>
      <c r="Y596" s="238"/>
      <c r="Z596" s="238"/>
      <c r="AA596" s="238"/>
      <c r="AB596" s="238"/>
      <c r="AC596" s="238"/>
      <c r="AD596" s="238"/>
      <c r="AE596" s="238"/>
      <c r="AF596" s="238"/>
    </row>
    <row r="597" spans="2:32">
      <c r="C597" s="35"/>
      <c r="D597" s="35"/>
      <c r="E597"/>
      <c r="F597"/>
      <c r="G597"/>
      <c r="H597"/>
      <c r="I597"/>
      <c r="J597"/>
      <c r="K597"/>
      <c r="L597"/>
      <c r="M597"/>
      <c r="N597"/>
      <c r="O597"/>
      <c r="P597" s="35"/>
      <c r="T597" s="238"/>
      <c r="U597" s="238"/>
      <c r="V597" s="238"/>
      <c r="W597" s="238"/>
      <c r="X597" s="238"/>
      <c r="Y597" s="238"/>
      <c r="Z597" s="238"/>
      <c r="AA597" s="238"/>
      <c r="AB597" s="238"/>
      <c r="AC597" s="238"/>
      <c r="AD597" s="238"/>
      <c r="AE597" s="238"/>
      <c r="AF597" s="238"/>
    </row>
    <row r="598" spans="2:32">
      <c r="C598" s="35"/>
      <c r="D598" s="35"/>
      <c r="E598"/>
      <c r="F598"/>
      <c r="G598"/>
      <c r="H598"/>
      <c r="I598"/>
      <c r="J598"/>
      <c r="K598"/>
      <c r="L598"/>
      <c r="M598"/>
      <c r="N598"/>
      <c r="O598"/>
      <c r="P598" s="35"/>
      <c r="T598" s="238"/>
      <c r="U598" s="238"/>
      <c r="V598" s="238"/>
      <c r="W598" s="238"/>
      <c r="X598" s="238"/>
      <c r="Y598" s="238"/>
      <c r="Z598" s="238"/>
      <c r="AA598" s="238"/>
      <c r="AB598" s="238"/>
      <c r="AC598" s="238"/>
      <c r="AD598" s="238"/>
      <c r="AE598" s="238"/>
      <c r="AF598" s="238"/>
    </row>
    <row r="599" spans="2:32">
      <c r="C599" s="35"/>
      <c r="D599" s="35"/>
      <c r="E599"/>
      <c r="F599"/>
      <c r="G599"/>
      <c r="H599"/>
      <c r="I599"/>
      <c r="J599"/>
      <c r="K599"/>
      <c r="L599"/>
      <c r="M599"/>
      <c r="N599"/>
      <c r="O599"/>
      <c r="P599" s="35"/>
      <c r="T599" s="238"/>
      <c r="U599" s="238"/>
      <c r="V599" s="238"/>
      <c r="W599" s="238"/>
      <c r="X599" s="238"/>
      <c r="Y599" s="238"/>
      <c r="Z599" s="238"/>
      <c r="AA599" s="238"/>
      <c r="AB599" s="238"/>
      <c r="AC599" s="238"/>
      <c r="AD599" s="238"/>
      <c r="AE599" s="238"/>
      <c r="AF599" s="238"/>
    </row>
    <row r="600" spans="2:32">
      <c r="C600" s="35"/>
      <c r="D600" s="35"/>
      <c r="E600"/>
      <c r="F600"/>
      <c r="G600"/>
      <c r="H600"/>
      <c r="I600"/>
      <c r="J600"/>
      <c r="K600"/>
      <c r="L600"/>
      <c r="M600"/>
      <c r="N600"/>
      <c r="O600"/>
      <c r="P600" s="35"/>
    </row>
    <row r="601" spans="2:32">
      <c r="C601" s="35"/>
      <c r="D601" s="35"/>
      <c r="E601"/>
      <c r="F601"/>
      <c r="G601"/>
      <c r="H601"/>
      <c r="I601"/>
      <c r="J601"/>
      <c r="K601"/>
      <c r="L601"/>
      <c r="M601"/>
      <c r="N601"/>
      <c r="O601"/>
      <c r="P601" s="35"/>
    </row>
    <row r="602" spans="2:32">
      <c r="C602" s="35"/>
      <c r="D602" s="35"/>
      <c r="E602"/>
      <c r="F602"/>
      <c r="G602"/>
      <c r="H602"/>
      <c r="I602"/>
      <c r="J602"/>
      <c r="K602"/>
      <c r="L602"/>
      <c r="M602"/>
      <c r="N602"/>
      <c r="O602"/>
      <c r="P602" s="35"/>
    </row>
    <row r="603" spans="2:32">
      <c r="C603" s="35"/>
      <c r="D603" s="35"/>
      <c r="E603"/>
      <c r="F603"/>
      <c r="G603"/>
      <c r="H603"/>
      <c r="I603"/>
      <c r="J603"/>
      <c r="K603"/>
      <c r="L603"/>
      <c r="M603"/>
      <c r="N603"/>
      <c r="O603"/>
      <c r="P603" s="35"/>
    </row>
    <row r="604" spans="2:32" ht="18.600000000000001">
      <c r="C604" s="639" t="s">
        <v>379</v>
      </c>
      <c r="D604" s="168"/>
      <c r="E604" s="35"/>
      <c r="F604" s="82" t="s">
        <v>731</v>
      </c>
      <c r="G604"/>
      <c r="H604"/>
      <c r="I604"/>
      <c r="J604"/>
      <c r="K604"/>
      <c r="L604"/>
      <c r="M604"/>
      <c r="N604"/>
      <c r="O604"/>
      <c r="P604" s="35"/>
    </row>
    <row r="605" spans="2:32">
      <c r="B605"/>
      <c r="C605" s="29" t="s">
        <v>761</v>
      </c>
      <c r="D605"/>
      <c r="E605"/>
      <c r="F605"/>
      <c r="G605"/>
      <c r="H605" s="84" t="s">
        <v>954</v>
      </c>
      <c r="I605"/>
      <c r="J605"/>
      <c r="K605"/>
      <c r="L605"/>
      <c r="M605"/>
      <c r="N605"/>
      <c r="O605"/>
      <c r="P605" s="35"/>
    </row>
    <row r="606" spans="2:32">
      <c r="B606"/>
      <c r="C606"/>
      <c r="D606"/>
      <c r="E606"/>
      <c r="F606"/>
      <c r="G606"/>
      <c r="H606" t="s">
        <v>955</v>
      </c>
      <c r="I606"/>
      <c r="J606"/>
      <c r="K606"/>
      <c r="L606"/>
      <c r="M606"/>
      <c r="N606"/>
      <c r="O606"/>
      <c r="P606" s="35"/>
    </row>
    <row r="607" spans="2:32">
      <c r="B607"/>
      <c r="C607"/>
      <c r="D607"/>
      <c r="E607"/>
      <c r="F607"/>
      <c r="G607"/>
      <c r="H607" s="84" t="s">
        <v>762</v>
      </c>
      <c r="I607"/>
      <c r="J607"/>
      <c r="K607"/>
      <c r="L607"/>
      <c r="M607"/>
      <c r="N607"/>
      <c r="O607"/>
      <c r="P607" s="35"/>
    </row>
    <row r="608" spans="2:32">
      <c r="B608"/>
      <c r="C608"/>
      <c r="D608"/>
      <c r="E608"/>
      <c r="F608"/>
      <c r="G608"/>
      <c r="H608" s="144" t="s">
        <v>956</v>
      </c>
      <c r="I608"/>
      <c r="J608"/>
      <c r="K608"/>
      <c r="L608"/>
      <c r="M608"/>
      <c r="N608"/>
      <c r="O608"/>
      <c r="P608" s="35"/>
    </row>
    <row r="609" spans="2:16">
      <c r="D609" s="35"/>
      <c r="E609" s="35"/>
      <c r="F609" s="35"/>
      <c r="G609" s="35"/>
      <c r="H609" s="37" t="s">
        <v>957</v>
      </c>
      <c r="I609" s="35"/>
      <c r="J609" s="35"/>
      <c r="K609" s="35"/>
      <c r="L609" s="35"/>
      <c r="M609" s="35"/>
      <c r="N609" s="35"/>
      <c r="O609" s="35"/>
      <c r="P609" s="35"/>
    </row>
    <row r="610" spans="2:16">
      <c r="D610" s="35"/>
      <c r="E610" s="35"/>
      <c r="F610" s="35"/>
      <c r="G610" s="35"/>
      <c r="I610" s="35"/>
      <c r="J610" s="35"/>
      <c r="K610" s="35"/>
      <c r="L610" s="35"/>
      <c r="M610" s="35"/>
      <c r="N610" s="35"/>
      <c r="O610" s="35"/>
      <c r="P610" s="35"/>
    </row>
    <row r="611" spans="2:16" ht="18.600000000000001">
      <c r="B611" s="89"/>
      <c r="C611" s="36" t="s">
        <v>732</v>
      </c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</row>
    <row r="612" spans="2:16">
      <c r="C612" s="49" t="s">
        <v>840</v>
      </c>
      <c r="D612" s="36" t="s">
        <v>759</v>
      </c>
      <c r="E612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</row>
    <row r="613" spans="2:16">
      <c r="C613" s="49" t="s">
        <v>840</v>
      </c>
      <c r="D613" s="36" t="s">
        <v>758</v>
      </c>
      <c r="E613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</row>
    <row r="614" spans="2:16">
      <c r="C614" s="49" t="s">
        <v>840</v>
      </c>
      <c r="D614" s="37" t="s">
        <v>958</v>
      </c>
      <c r="E614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</row>
    <row r="615" spans="2:16" ht="18.600000000000001">
      <c r="B615" s="182"/>
      <c r="C615" s="37" t="s">
        <v>760</v>
      </c>
      <c r="D615" s="37"/>
      <c r="E61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</row>
    <row r="616" spans="2:16">
      <c r="C616" s="37" t="s">
        <v>1444</v>
      </c>
      <c r="D616" s="37"/>
      <c r="E616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</row>
    <row r="617" spans="2:16">
      <c r="C617" s="36" t="s">
        <v>1445</v>
      </c>
      <c r="D617" s="36"/>
      <c r="E617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</row>
    <row r="618" spans="2:16">
      <c r="C618" s="36"/>
      <c r="D618" s="36"/>
      <c r="E618"/>
      <c r="F618" s="35"/>
      <c r="G618" s="35"/>
      <c r="I618" s="35"/>
      <c r="J618" s="35"/>
      <c r="K618" s="35"/>
      <c r="L618" s="35"/>
      <c r="M618" s="35"/>
      <c r="N618" s="35"/>
      <c r="O618" s="35"/>
      <c r="P618" s="35"/>
    </row>
    <row r="619" spans="2:16">
      <c r="C619" s="84" t="s">
        <v>763</v>
      </c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</row>
    <row r="620" spans="2:16">
      <c r="C620" s="84" t="s">
        <v>764</v>
      </c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</row>
    <row r="621" spans="2:16">
      <c r="C621" s="37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</row>
    <row r="622" spans="2:16">
      <c r="C622" s="84" t="s">
        <v>765</v>
      </c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</row>
    <row r="623" spans="2:16">
      <c r="C623" s="84" t="s">
        <v>1446</v>
      </c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</row>
    <row r="624" spans="2:16">
      <c r="C624" s="139" t="s">
        <v>1447</v>
      </c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</row>
    <row r="625" spans="2:24">
      <c r="C625"/>
      <c r="D625" s="35"/>
      <c r="E625" s="35"/>
      <c r="F625" s="35"/>
      <c r="G625" s="35"/>
      <c r="I625" s="35"/>
      <c r="J625" s="35"/>
      <c r="K625" s="35"/>
      <c r="L625" s="35"/>
      <c r="M625" s="35"/>
      <c r="N625" s="35"/>
      <c r="O625" s="35"/>
      <c r="P625" s="35"/>
    </row>
    <row r="626" spans="2:24">
      <c r="C626" t="s">
        <v>518</v>
      </c>
      <c r="D626" s="35"/>
      <c r="E626" s="35"/>
      <c r="F626" s="35"/>
      <c r="G626" s="35"/>
      <c r="I626" s="35"/>
      <c r="J626" s="35"/>
      <c r="K626" s="35"/>
      <c r="L626" s="35"/>
      <c r="M626" s="35"/>
      <c r="N626" s="35"/>
      <c r="O626" s="35"/>
      <c r="P626" s="35"/>
    </row>
    <row r="627" spans="2:24">
      <c r="C627" t="s">
        <v>535</v>
      </c>
      <c r="D627" s="35"/>
      <c r="E627" s="35"/>
      <c r="F627" s="35"/>
      <c r="G627" s="35"/>
      <c r="I627" s="35"/>
      <c r="J627" s="35"/>
      <c r="K627" s="35"/>
      <c r="L627" s="35"/>
      <c r="M627" s="35"/>
      <c r="N627" s="35"/>
      <c r="O627" s="35"/>
      <c r="P627" s="35"/>
    </row>
    <row r="628" spans="2:24">
      <c r="C628" t="s">
        <v>536</v>
      </c>
      <c r="D628" s="35"/>
      <c r="E628" s="35"/>
      <c r="F628" s="35"/>
      <c r="G628" s="35"/>
      <c r="I628" s="35"/>
      <c r="J628" s="35"/>
      <c r="K628" s="35"/>
      <c r="L628" s="35"/>
      <c r="M628" s="35"/>
      <c r="N628" s="35"/>
      <c r="O628" s="35"/>
      <c r="P628" s="35"/>
    </row>
    <row r="629" spans="2:24">
      <c r="C629" t="s">
        <v>537</v>
      </c>
      <c r="D629" s="35"/>
      <c r="E629" s="35"/>
      <c r="F629" s="35"/>
      <c r="G629" s="35"/>
      <c r="I629" s="35"/>
      <c r="J629" s="35"/>
      <c r="K629" s="35"/>
      <c r="L629" s="35"/>
      <c r="M629" s="35"/>
      <c r="N629" s="35"/>
      <c r="O629" s="35"/>
      <c r="P629" s="35"/>
    </row>
    <row r="630" spans="2:24">
      <c r="C630" t="s">
        <v>1448</v>
      </c>
      <c r="D630" s="35"/>
      <c r="E630" s="35"/>
      <c r="F630" s="35"/>
      <c r="G630" s="35"/>
      <c r="I630" s="35"/>
      <c r="M630" s="35"/>
      <c r="N630" s="35"/>
      <c r="O630" s="35"/>
      <c r="P630" s="35"/>
    </row>
    <row r="631" spans="2:24">
      <c r="C631"/>
      <c r="F631" s="35" t="s">
        <v>790</v>
      </c>
      <c r="G631" s="1071" t="s">
        <v>1443</v>
      </c>
      <c r="I631" s="35"/>
      <c r="M631" s="35"/>
      <c r="N631" s="35"/>
      <c r="O631" s="35"/>
      <c r="P631" s="35"/>
    </row>
    <row r="632" spans="2:24">
      <c r="C632" s="1262"/>
      <c r="F632" s="35" t="s">
        <v>785</v>
      </c>
      <c r="G632" s="1071" t="s">
        <v>1442</v>
      </c>
      <c r="I632" s="35"/>
      <c r="M632" s="35"/>
      <c r="N632" s="35"/>
      <c r="O632" s="35"/>
      <c r="P632" s="35"/>
    </row>
    <row r="633" spans="2:24">
      <c r="C633" s="1262"/>
      <c r="F633" s="1071" t="s">
        <v>1440</v>
      </c>
      <c r="G633" s="1071" t="s">
        <v>1441</v>
      </c>
      <c r="I633" s="35"/>
      <c r="J633" s="1071"/>
      <c r="K633" s="1071"/>
      <c r="M633" s="35"/>
      <c r="N633" s="35"/>
      <c r="O633" s="35"/>
      <c r="P633" s="35"/>
    </row>
    <row r="634" spans="2:24">
      <c r="C634"/>
      <c r="D634" s="35"/>
      <c r="E634" s="35"/>
      <c r="F634" s="35"/>
      <c r="G634" s="35"/>
      <c r="I634" s="35"/>
      <c r="J634" s="35"/>
      <c r="K634" s="35"/>
      <c r="L634" s="35"/>
      <c r="M634" s="35"/>
      <c r="N634" s="35"/>
      <c r="O634" s="35"/>
      <c r="P634" s="35"/>
    </row>
    <row r="635" spans="2:24">
      <c r="C635" s="331" t="s">
        <v>790</v>
      </c>
      <c r="F635" s="356" t="s">
        <v>1443</v>
      </c>
      <c r="I635" s="328"/>
      <c r="J635" s="328"/>
      <c r="K635" s="328"/>
      <c r="L635" s="328"/>
      <c r="M635" s="328"/>
      <c r="N635" s="328"/>
      <c r="O635" s="328"/>
      <c r="P635" s="328"/>
      <c r="Q635" s="328"/>
      <c r="R635" s="328"/>
      <c r="S635" s="328"/>
      <c r="T635" s="328"/>
      <c r="U635" s="328"/>
      <c r="V635" s="328"/>
      <c r="W635" s="328"/>
    </row>
    <row r="636" spans="2:24">
      <c r="C636" s="84"/>
      <c r="D636" s="328"/>
      <c r="E636" s="328"/>
      <c r="F636" s="364" t="s">
        <v>801</v>
      </c>
      <c r="I636" s="328"/>
      <c r="J636" s="328"/>
      <c r="K636" s="328"/>
      <c r="L636" s="328"/>
      <c r="M636" s="328"/>
      <c r="N636" s="328"/>
      <c r="O636" s="328"/>
      <c r="P636" s="328"/>
      <c r="Q636" s="328"/>
      <c r="R636" s="328"/>
      <c r="S636" s="328"/>
      <c r="T636" s="328"/>
      <c r="U636" s="328"/>
      <c r="V636" s="328"/>
      <c r="W636" s="328"/>
    </row>
    <row r="637" spans="2:24" ht="18.600000000000001">
      <c r="B637" s="182"/>
      <c r="C637" s="84"/>
      <c r="D637" s="329" t="s">
        <v>789</v>
      </c>
      <c r="F637" s="328"/>
      <c r="G637" s="328"/>
      <c r="H637" s="328"/>
      <c r="I637" s="328"/>
      <c r="J637" s="328"/>
      <c r="K637" s="328"/>
      <c r="L637" s="328"/>
      <c r="M637" s="328"/>
      <c r="N637" s="328"/>
      <c r="O637" s="328"/>
      <c r="P637" s="328"/>
      <c r="Q637" s="328"/>
      <c r="R637" s="328"/>
      <c r="S637" s="332">
        <v>0.03</v>
      </c>
      <c r="T637" s="328" t="s">
        <v>781</v>
      </c>
      <c r="U637" s="328"/>
      <c r="V637" s="328"/>
      <c r="W637" s="328"/>
      <c r="X637" s="328"/>
    </row>
    <row r="638" spans="2:24">
      <c r="C638" s="84"/>
      <c r="D638" s="329" t="s">
        <v>788</v>
      </c>
      <c r="F638" s="328"/>
      <c r="G638" s="328"/>
      <c r="H638" s="328"/>
      <c r="I638" s="328"/>
      <c r="J638" s="328"/>
      <c r="K638" s="328"/>
      <c r="L638" s="328"/>
      <c r="M638" s="328"/>
      <c r="N638" s="328"/>
      <c r="O638" s="328"/>
      <c r="P638" s="328"/>
      <c r="Q638" s="328"/>
      <c r="R638" s="328"/>
      <c r="S638" s="332">
        <v>0.06</v>
      </c>
      <c r="T638" s="328" t="s">
        <v>780</v>
      </c>
      <c r="U638" s="328"/>
      <c r="V638" s="328"/>
      <c r="W638" s="328"/>
      <c r="X638" s="328"/>
    </row>
    <row r="639" spans="2:24">
      <c r="C639" s="84"/>
      <c r="D639" s="1267" t="s">
        <v>1466</v>
      </c>
      <c r="F639" s="328"/>
      <c r="G639" s="328"/>
      <c r="H639" s="328"/>
      <c r="I639" s="328"/>
      <c r="J639" s="328"/>
      <c r="K639" s="328"/>
      <c r="L639" s="328"/>
      <c r="M639" s="328"/>
      <c r="N639" s="328"/>
      <c r="O639" s="328"/>
      <c r="P639" s="328"/>
      <c r="Q639" s="328"/>
      <c r="R639" s="328"/>
      <c r="S639" s="328"/>
      <c r="T639" s="328"/>
      <c r="U639" s="328"/>
      <c r="V639" s="328"/>
      <c r="W639" s="328"/>
    </row>
    <row r="640" spans="2:24">
      <c r="C640" s="84"/>
      <c r="D640" s="328"/>
      <c r="E640" s="328"/>
      <c r="F640" s="328"/>
      <c r="G640" s="328"/>
      <c r="H640" s="328"/>
      <c r="I640" s="328"/>
      <c r="J640" s="328"/>
      <c r="K640" s="328"/>
      <c r="L640" s="328"/>
      <c r="M640" s="328"/>
      <c r="O640" s="1271" t="s">
        <v>1452</v>
      </c>
      <c r="P640" s="357"/>
      <c r="Q640" s="328"/>
      <c r="R640" s="328"/>
      <c r="S640" s="328"/>
      <c r="T640" s="328"/>
      <c r="U640" s="328"/>
      <c r="V640" s="328"/>
      <c r="W640" s="328"/>
    </row>
    <row r="641" spans="2:23" ht="15.6">
      <c r="C641" s="84"/>
      <c r="D641" s="333"/>
      <c r="E641" s="330"/>
      <c r="F641" s="330"/>
      <c r="G641" s="1273" t="s">
        <v>272</v>
      </c>
      <c r="H641" s="1274">
        <v>0</v>
      </c>
      <c r="I641" s="1275">
        <f>H641+1</f>
        <v>1</v>
      </c>
      <c r="J641" s="1275">
        <f>I641+1</f>
        <v>2</v>
      </c>
      <c r="K641" s="1275">
        <f>J641+1</f>
        <v>3</v>
      </c>
      <c r="L641" s="1275">
        <f>K641+1</f>
        <v>4</v>
      </c>
      <c r="M641" s="1276">
        <f>L641+1</f>
        <v>5</v>
      </c>
      <c r="N641" s="1272" t="s">
        <v>1460</v>
      </c>
      <c r="O641" s="1277" t="s">
        <v>778</v>
      </c>
      <c r="P641" s="1278" t="s">
        <v>777</v>
      </c>
      <c r="Q641" s="1276" t="s">
        <v>1163</v>
      </c>
      <c r="S641" s="328"/>
      <c r="T641" s="328"/>
      <c r="U641" s="328"/>
      <c r="V641" s="328"/>
      <c r="W641" s="328"/>
    </row>
    <row r="642" spans="2:23" ht="14.4">
      <c r="C642" s="84"/>
      <c r="D642" s="334" t="s">
        <v>776</v>
      </c>
      <c r="E642" s="335"/>
      <c r="F642" s="335"/>
      <c r="G642" s="1080" t="s">
        <v>27</v>
      </c>
      <c r="H642" s="1287">
        <v>100000</v>
      </c>
      <c r="I642" s="336">
        <f>IF(H642&lt;0.01,0,H642-I643)</f>
        <v>80000</v>
      </c>
      <c r="J642" s="336">
        <f>IF(I642&lt;0.01,0,I642-J643)</f>
        <v>60000</v>
      </c>
      <c r="K642" s="336">
        <f>IF(J642&lt;0.01,0,J642-K643)</f>
        <v>40000</v>
      </c>
      <c r="L642" s="336">
        <f>IF(K642&lt;0.01,0,K642-L643)</f>
        <v>20000</v>
      </c>
      <c r="M642" s="337">
        <f>IF(L642&lt;0.01,0,L642-M643)</f>
        <v>0</v>
      </c>
      <c r="N642" s="338" t="s">
        <v>773</v>
      </c>
      <c r="O642" s="1074">
        <f>SUM(H642:M642)</f>
        <v>300000</v>
      </c>
      <c r="P642" s="1075">
        <f>AVERAGE(H642:M642)</f>
        <v>50000</v>
      </c>
      <c r="Q642" s="1076">
        <f>P642/$P$642</f>
        <v>1</v>
      </c>
      <c r="S642" s="328"/>
      <c r="T642" s="328"/>
      <c r="U642" s="328"/>
      <c r="V642" s="328"/>
      <c r="W642" s="328"/>
    </row>
    <row r="643" spans="2:23">
      <c r="C643" s="84"/>
      <c r="D643" s="339" t="s">
        <v>95</v>
      </c>
      <c r="E643" s="340"/>
      <c r="F643" s="340"/>
      <c r="G643" s="1081" t="s">
        <v>354</v>
      </c>
      <c r="H643" s="341"/>
      <c r="I643" s="342">
        <f>IF(H642&lt;0.01,0,$H$642*$T$643)</f>
        <v>20000</v>
      </c>
      <c r="J643" s="342">
        <f>IF(I642&lt;0.01,0,$H$642*$T$643)</f>
        <v>20000</v>
      </c>
      <c r="K643" s="342">
        <f>IF(J642&lt;0.01,0,$H$642*$T$643)</f>
        <v>20000</v>
      </c>
      <c r="L643" s="342">
        <f>IF(K642&lt;0.01,0,$H$642*$T$643)</f>
        <v>20000</v>
      </c>
      <c r="M643" s="343">
        <f>IF(L642&lt;0.01,0,$H$642*$T$643)</f>
        <v>20000</v>
      </c>
      <c r="N643" s="338" t="s">
        <v>773</v>
      </c>
      <c r="O643" s="344">
        <f>SUM(H643:M643)</f>
        <v>100000</v>
      </c>
      <c r="P643" s="345"/>
      <c r="Q643" s="343"/>
      <c r="S643" s="328"/>
      <c r="T643" s="346">
        <v>0.2</v>
      </c>
      <c r="U643" s="365" t="s">
        <v>549</v>
      </c>
      <c r="V643" s="328"/>
      <c r="W643" s="328"/>
    </row>
    <row r="644" spans="2:23">
      <c r="C644" s="84"/>
      <c r="D644" s="347" t="s">
        <v>775</v>
      </c>
      <c r="E644" s="335"/>
      <c r="F644" s="335"/>
      <c r="G644" s="1080" t="s">
        <v>27</v>
      </c>
      <c r="H644" s="348">
        <v>60000</v>
      </c>
      <c r="I644" s="336">
        <f>IF(H644&lt;0.01,0,H644-I645)</f>
        <v>48000</v>
      </c>
      <c r="J644" s="336">
        <f>IF(I644&lt;0.01,0,I644-J645)</f>
        <v>36000</v>
      </c>
      <c r="K644" s="336">
        <f>IF(J644&lt;0.01,0,J644-K645)</f>
        <v>24000</v>
      </c>
      <c r="L644" s="336">
        <f>IF(K644&lt;0.01,0,K644-L645)</f>
        <v>12000</v>
      </c>
      <c r="M644" s="337">
        <f>IF(L644&lt;0.01,0,L644-M645)</f>
        <v>0</v>
      </c>
      <c r="N644" s="338" t="s">
        <v>773</v>
      </c>
      <c r="O644" s="1074">
        <f>SUM(H644:M644)</f>
        <v>180000</v>
      </c>
      <c r="P644" s="1075">
        <f>AVERAGE(H644:M644)</f>
        <v>30000</v>
      </c>
      <c r="Q644" s="1076">
        <f>P644/$P$642</f>
        <v>0.6</v>
      </c>
      <c r="S644" s="328"/>
      <c r="T644" s="328"/>
      <c r="U644" s="328"/>
      <c r="V644" s="328"/>
      <c r="W644" s="328"/>
    </row>
    <row r="645" spans="2:23">
      <c r="C645" s="84"/>
      <c r="D645" s="339" t="s">
        <v>774</v>
      </c>
      <c r="E645" s="340"/>
      <c r="F645" s="340"/>
      <c r="G645" s="1081" t="s">
        <v>354</v>
      </c>
      <c r="H645" s="341"/>
      <c r="I645" s="342">
        <f>IF($H$647&lt;I641,0,$H$644/$H$647)</f>
        <v>12000</v>
      </c>
      <c r="J645" s="342">
        <f>IF($H$647&lt;J641,0,$H$644/$H$647)</f>
        <v>12000</v>
      </c>
      <c r="K645" s="342">
        <f>IF($H$647&lt;K641,0,$H$644/$H$647)</f>
        <v>12000</v>
      </c>
      <c r="L645" s="342">
        <f>IF($H$647&lt;L641,0,$H$644/$H$647)</f>
        <v>12000</v>
      </c>
      <c r="M645" s="343">
        <f>IF($H$647&lt;M641,0,$H$644/$H$647)</f>
        <v>12000</v>
      </c>
      <c r="N645" s="338" t="s">
        <v>773</v>
      </c>
      <c r="O645" s="344">
        <f>SUM(H645:M645)</f>
        <v>60000</v>
      </c>
      <c r="P645" s="345"/>
      <c r="Q645" s="343"/>
      <c r="S645" s="328"/>
      <c r="T645" s="328"/>
      <c r="U645" s="328"/>
      <c r="V645" s="328"/>
      <c r="W645" s="328"/>
    </row>
    <row r="646" spans="2:23">
      <c r="C646" s="84"/>
      <c r="D646" s="349" t="s">
        <v>768</v>
      </c>
      <c r="E646" s="350"/>
      <c r="F646" s="350"/>
      <c r="G646" s="1082" t="s">
        <v>27</v>
      </c>
      <c r="H646" s="351">
        <f t="shared" ref="H646:M646" si="0">H642-H644</f>
        <v>40000</v>
      </c>
      <c r="I646" s="352">
        <f t="shared" si="0"/>
        <v>32000</v>
      </c>
      <c r="J646" s="352">
        <f t="shared" si="0"/>
        <v>24000</v>
      </c>
      <c r="K646" s="352">
        <f t="shared" si="0"/>
        <v>16000</v>
      </c>
      <c r="L646" s="352">
        <f t="shared" si="0"/>
        <v>8000</v>
      </c>
      <c r="M646" s="353">
        <f t="shared" si="0"/>
        <v>0</v>
      </c>
      <c r="N646" s="338" t="s">
        <v>773</v>
      </c>
      <c r="O646" s="1077">
        <f>SUM(H646:M646)</f>
        <v>120000</v>
      </c>
      <c r="P646" s="1078">
        <f>AVERAGE(H646:M646)</f>
        <v>20000</v>
      </c>
      <c r="Q646" s="1079">
        <f>P646/$P$642</f>
        <v>0.4</v>
      </c>
      <c r="S646" s="328"/>
      <c r="T646" s="328"/>
      <c r="U646" s="328"/>
      <c r="V646" s="328"/>
      <c r="W646" s="328"/>
    </row>
    <row r="647" spans="2:23">
      <c r="C647" s="84"/>
      <c r="D647" s="328"/>
      <c r="E647" s="370" t="s">
        <v>779</v>
      </c>
      <c r="F647" s="370"/>
      <c r="G647" s="370"/>
      <c r="H647" s="388">
        <v>5</v>
      </c>
      <c r="I647" s="370" t="s">
        <v>65</v>
      </c>
      <c r="K647" s="354"/>
      <c r="L647" s="354"/>
      <c r="M647" s="328"/>
      <c r="N647" s="328"/>
      <c r="O647" s="1266"/>
      <c r="P647" s="328"/>
      <c r="Q647" s="328"/>
      <c r="R647" s="328"/>
      <c r="S647" s="328"/>
      <c r="T647" s="328"/>
      <c r="U647" s="328"/>
      <c r="V647" s="328"/>
      <c r="W647" s="328"/>
    </row>
    <row r="648" spans="2:23">
      <c r="B648" s="328"/>
      <c r="C648" s="328"/>
      <c r="D648" s="328"/>
      <c r="E648" s="328"/>
      <c r="F648" s="328"/>
      <c r="G648" s="328"/>
      <c r="H648" s="328"/>
      <c r="I648" s="328"/>
      <c r="J648" s="328"/>
      <c r="K648" s="328"/>
      <c r="L648" s="328"/>
      <c r="M648" s="328"/>
      <c r="N648" s="328"/>
      <c r="O648" s="328"/>
      <c r="P648" s="328"/>
      <c r="Q648" s="328"/>
      <c r="R648" s="328"/>
      <c r="S648" s="328"/>
      <c r="T648" s="328"/>
      <c r="U648" s="328"/>
      <c r="V648" s="328"/>
      <c r="W648" s="328"/>
    </row>
    <row r="649" spans="2:23">
      <c r="C649" s="84"/>
      <c r="D649" s="328"/>
      <c r="E649" s="328"/>
      <c r="F649" s="328"/>
      <c r="G649" s="354"/>
      <c r="H649" s="354"/>
      <c r="I649" s="354"/>
      <c r="J649" s="354"/>
      <c r="K649" s="354"/>
      <c r="L649" s="354"/>
      <c r="M649" s="328"/>
      <c r="N649" s="328"/>
      <c r="O649" s="328"/>
      <c r="P649" s="328"/>
      <c r="Q649" s="328"/>
      <c r="R649" s="328"/>
      <c r="S649" s="328"/>
      <c r="T649" s="328"/>
      <c r="W649" s="328"/>
    </row>
    <row r="650" spans="2:23" ht="15.6">
      <c r="C650" s="84"/>
      <c r="D650" s="328"/>
      <c r="E650" s="328"/>
      <c r="F650" s="328"/>
      <c r="G650" s="354"/>
      <c r="H650" s="354"/>
      <c r="I650" s="354"/>
      <c r="J650" s="354"/>
      <c r="K650" s="354"/>
      <c r="L650" s="354"/>
      <c r="M650" s="354"/>
      <c r="N650" s="328"/>
      <c r="O650" s="1137" t="s">
        <v>1252</v>
      </c>
      <c r="P650" s="357"/>
      <c r="Q650" s="357"/>
      <c r="R650" s="328"/>
      <c r="S650" s="328"/>
      <c r="T650" s="328"/>
      <c r="W650" s="328"/>
    </row>
    <row r="651" spans="2:23">
      <c r="C651" s="84"/>
      <c r="D651" s="328"/>
      <c r="E651" s="328"/>
      <c r="F651" s="328"/>
      <c r="G651" s="354"/>
      <c r="H651" s="354"/>
      <c r="I651" s="354"/>
      <c r="J651" s="354"/>
      <c r="K651" s="354"/>
      <c r="M651" s="354"/>
      <c r="N651" s="145" t="s">
        <v>504</v>
      </c>
      <c r="O651" s="366" t="s">
        <v>503</v>
      </c>
      <c r="P651" s="357"/>
      <c r="Q651" s="357"/>
      <c r="S651" s="328"/>
      <c r="T651" s="328"/>
      <c r="W651" s="328"/>
    </row>
    <row r="652" spans="2:23" ht="15.6">
      <c r="C652" s="84"/>
      <c r="D652" s="328"/>
      <c r="E652" s="328"/>
      <c r="F652" s="328"/>
      <c r="G652" s="354"/>
      <c r="H652" s="354"/>
      <c r="I652" s="354"/>
      <c r="J652" s="354"/>
      <c r="K652" s="354"/>
      <c r="L652" s="328"/>
      <c r="M652" s="354"/>
      <c r="N652" s="328"/>
      <c r="O652" s="366" t="s">
        <v>802</v>
      </c>
      <c r="P652" s="357"/>
      <c r="Q652" s="357"/>
      <c r="S652" s="328"/>
      <c r="T652" s="328"/>
      <c r="W652" s="328"/>
    </row>
    <row r="653" spans="2:23">
      <c r="C653" s="84"/>
      <c r="D653" s="328"/>
      <c r="E653" s="328"/>
      <c r="F653" s="328"/>
      <c r="G653" s="354"/>
      <c r="H653" s="354"/>
      <c r="I653" s="354"/>
      <c r="J653" s="354"/>
      <c r="K653" s="354"/>
      <c r="L653" s="354"/>
      <c r="S653" s="328"/>
      <c r="T653" s="328"/>
      <c r="W653" s="328"/>
    </row>
    <row r="654" spans="2:23" ht="15">
      <c r="C654" s="84"/>
      <c r="D654" s="328"/>
      <c r="E654" s="328"/>
      <c r="F654" s="328"/>
      <c r="G654" s="354"/>
      <c r="H654" s="354"/>
      <c r="I654" s="354"/>
      <c r="J654" s="354"/>
      <c r="K654" s="354"/>
      <c r="L654" s="354"/>
      <c r="M654" s="368" t="s">
        <v>803</v>
      </c>
      <c r="N654" s="367" t="s">
        <v>499</v>
      </c>
      <c r="T654" s="328"/>
      <c r="U654" s="328"/>
      <c r="V654" s="328"/>
      <c r="W654" s="328"/>
    </row>
    <row r="655" spans="2:23" ht="15">
      <c r="C655" s="84"/>
      <c r="D655" s="328"/>
      <c r="E655" s="328"/>
      <c r="F655" s="328"/>
      <c r="G655" s="354"/>
      <c r="H655" s="354"/>
      <c r="I655" s="354"/>
      <c r="J655" s="354"/>
      <c r="K655" s="354"/>
      <c r="L655" s="354"/>
      <c r="M655" s="368" t="s">
        <v>804</v>
      </c>
      <c r="N655" s="367" t="s">
        <v>500</v>
      </c>
      <c r="T655" s="328"/>
      <c r="U655" s="328"/>
      <c r="V655" s="328"/>
      <c r="W655" s="328"/>
    </row>
    <row r="656" spans="2:23" ht="15">
      <c r="C656" s="84"/>
      <c r="D656" s="328"/>
      <c r="E656" s="328"/>
      <c r="F656" s="328"/>
      <c r="G656" s="354"/>
      <c r="H656" s="354"/>
      <c r="I656" s="354"/>
      <c r="J656" s="354"/>
      <c r="K656" s="354"/>
      <c r="L656" s="354"/>
      <c r="M656" s="368" t="s">
        <v>805</v>
      </c>
      <c r="N656" s="367" t="s">
        <v>501</v>
      </c>
      <c r="P656" s="328"/>
      <c r="Q656" s="328"/>
      <c r="R656" s="328"/>
      <c r="S656" s="328"/>
      <c r="T656" s="328"/>
      <c r="U656" s="328"/>
      <c r="V656" s="328"/>
      <c r="W656" s="328"/>
    </row>
    <row r="657" spans="2:23" ht="15">
      <c r="C657" s="84"/>
      <c r="D657" s="328"/>
      <c r="E657" s="328"/>
      <c r="F657" s="328"/>
      <c r="G657" s="354"/>
      <c r="H657" s="354"/>
      <c r="I657" s="354"/>
      <c r="J657" s="354"/>
      <c r="K657" s="354"/>
      <c r="L657" s="354"/>
      <c r="M657" s="368" t="s">
        <v>806</v>
      </c>
      <c r="N657" s="367" t="s">
        <v>502</v>
      </c>
      <c r="P657" s="328"/>
      <c r="Q657" s="328"/>
      <c r="R657" s="328"/>
      <c r="S657" s="328"/>
      <c r="T657" s="328"/>
      <c r="U657" s="328"/>
      <c r="V657" s="328"/>
      <c r="W657" s="328"/>
    </row>
    <row r="658" spans="2:23">
      <c r="C658" s="84"/>
      <c r="D658" s="328"/>
      <c r="E658" s="328"/>
      <c r="F658" s="328"/>
      <c r="G658" s="354"/>
      <c r="H658" s="354"/>
      <c r="I658" s="354"/>
      <c r="J658" s="354"/>
      <c r="K658" s="354"/>
      <c r="L658" s="354"/>
      <c r="M658" s="354"/>
      <c r="N658" s="354"/>
      <c r="O658" s="328"/>
      <c r="P658" s="328"/>
      <c r="Q658" s="328"/>
      <c r="R658" s="328"/>
      <c r="S658" s="328"/>
      <c r="T658" s="328"/>
      <c r="U658" s="328"/>
      <c r="V658" s="328"/>
      <c r="W658" s="328"/>
    </row>
    <row r="659" spans="2:23">
      <c r="C659" s="84"/>
      <c r="D659" s="328"/>
      <c r="E659" s="328"/>
      <c r="F659" s="328"/>
      <c r="G659" s="354"/>
      <c r="H659" s="354"/>
      <c r="I659" s="354"/>
      <c r="J659" s="354"/>
      <c r="K659" s="354"/>
      <c r="L659" s="354"/>
      <c r="M659" s="354"/>
      <c r="N659" s="354"/>
      <c r="O659" s="328"/>
      <c r="P659" s="328"/>
      <c r="Q659" s="328"/>
      <c r="R659" s="328"/>
      <c r="S659" s="328"/>
      <c r="T659" s="328"/>
      <c r="U659" s="328"/>
      <c r="V659" s="328"/>
      <c r="W659" s="328"/>
    </row>
    <row r="660" spans="2:23">
      <c r="C660" s="84"/>
      <c r="D660" s="329" t="s">
        <v>787</v>
      </c>
      <c r="F660" s="328"/>
      <c r="G660" s="354"/>
      <c r="H660" s="354"/>
      <c r="I660" s="354"/>
      <c r="J660" s="354"/>
      <c r="K660" s="354"/>
      <c r="L660" s="354"/>
      <c r="M660" s="354"/>
      <c r="N660" s="354"/>
      <c r="O660" s="328"/>
      <c r="P660" s="328"/>
      <c r="Q660" s="329"/>
      <c r="R660" s="328"/>
      <c r="S660" s="328"/>
      <c r="T660" s="328"/>
      <c r="U660" s="328"/>
      <c r="V660" s="328"/>
      <c r="W660" s="328"/>
    </row>
    <row r="661" spans="2:23">
      <c r="C661" s="84"/>
      <c r="D661" s="329" t="s">
        <v>786</v>
      </c>
      <c r="F661" s="328"/>
      <c r="G661" s="354"/>
      <c r="H661" s="354"/>
      <c r="I661" s="354"/>
      <c r="J661" s="354"/>
      <c r="K661" s="354"/>
      <c r="L661" s="354"/>
      <c r="M661" s="354"/>
      <c r="N661" s="354"/>
      <c r="O661" s="328"/>
      <c r="P661" s="328"/>
      <c r="Q661" s="329"/>
      <c r="R661" s="328"/>
      <c r="S661" s="328"/>
      <c r="T661" s="328"/>
      <c r="U661" s="328"/>
      <c r="V661" s="328"/>
      <c r="W661" s="328"/>
    </row>
    <row r="662" spans="2:23">
      <c r="C662" s="84"/>
      <c r="D662" s="1267" t="s">
        <v>1467</v>
      </c>
      <c r="F662" s="328"/>
      <c r="G662" s="354"/>
      <c r="H662" s="354"/>
      <c r="I662" s="354"/>
      <c r="J662" s="354"/>
      <c r="K662" s="354"/>
      <c r="L662" s="354"/>
      <c r="M662" s="354"/>
      <c r="N662" s="354"/>
      <c r="O662" s="328"/>
      <c r="P662" s="328"/>
      <c r="Q662" s="329"/>
      <c r="R662" s="328"/>
      <c r="S662" s="328"/>
      <c r="T662" s="328"/>
      <c r="U662" s="328"/>
      <c r="V662" s="328"/>
      <c r="W662" s="328"/>
    </row>
    <row r="663" spans="2:23">
      <c r="C663" s="84"/>
      <c r="D663" s="328"/>
      <c r="F663" s="328"/>
      <c r="G663" s="354"/>
      <c r="H663" s="354"/>
      <c r="I663" s="354"/>
      <c r="J663" s="354"/>
      <c r="K663" s="354"/>
      <c r="L663" s="354"/>
      <c r="M663" s="354"/>
      <c r="N663" s="354"/>
      <c r="O663" s="328"/>
      <c r="P663" s="328"/>
      <c r="Q663" s="329"/>
      <c r="R663" s="328"/>
      <c r="S663" s="328"/>
      <c r="T663" s="328"/>
      <c r="U663" s="328"/>
      <c r="V663" s="328"/>
      <c r="W663" s="328"/>
    </row>
    <row r="664" spans="2:23">
      <c r="C664" s="84"/>
      <c r="D664" s="373" t="s">
        <v>512</v>
      </c>
      <c r="F664" s="328"/>
      <c r="G664" s="354"/>
      <c r="H664" s="354"/>
      <c r="I664" s="354"/>
      <c r="J664" s="354"/>
      <c r="K664" s="354"/>
      <c r="L664" s="354"/>
      <c r="M664" s="374" t="s">
        <v>511</v>
      </c>
      <c r="N664" s="373" t="s">
        <v>514</v>
      </c>
      <c r="O664" s="373"/>
      <c r="P664" s="373"/>
      <c r="Q664" s="373"/>
      <c r="R664" s="373"/>
      <c r="S664" s="328"/>
      <c r="T664" s="328"/>
      <c r="U664" s="328"/>
      <c r="V664" s="328"/>
      <c r="W664" s="328"/>
    </row>
    <row r="665" spans="2:23">
      <c r="C665" s="84"/>
      <c r="D665" s="328"/>
      <c r="F665" s="373"/>
      <c r="G665" s="373"/>
      <c r="H665" s="376" t="s">
        <v>772</v>
      </c>
      <c r="I665" s="374" t="s">
        <v>267</v>
      </c>
      <c r="J665" s="376" t="s">
        <v>478</v>
      </c>
      <c r="K665" s="374" t="s">
        <v>63</v>
      </c>
      <c r="L665" s="374" t="s">
        <v>771</v>
      </c>
      <c r="M665" s="374" t="s">
        <v>511</v>
      </c>
      <c r="N665" s="387" t="s">
        <v>515</v>
      </c>
      <c r="O665" s="373"/>
      <c r="P665" s="373"/>
      <c r="Q665" s="373"/>
      <c r="R665" s="373"/>
      <c r="S665" s="328"/>
      <c r="T665" s="328"/>
      <c r="U665" s="328"/>
      <c r="V665" s="328"/>
      <c r="W665" s="328"/>
    </row>
    <row r="666" spans="2:23">
      <c r="C666" s="84"/>
      <c r="D666" s="328"/>
      <c r="F666" s="377"/>
      <c r="G666" s="377"/>
      <c r="H666" s="378" t="s">
        <v>770</v>
      </c>
      <c r="I666" s="378"/>
      <c r="J666" s="378" t="s">
        <v>769</v>
      </c>
      <c r="K666" s="378"/>
      <c r="L666" s="378" t="s">
        <v>450</v>
      </c>
      <c r="M666" s="374" t="s">
        <v>511</v>
      </c>
      <c r="N666" s="379">
        <f>H646</f>
        <v>40000</v>
      </c>
      <c r="O666" s="1084">
        <f>$S$688</f>
        <v>0.03</v>
      </c>
      <c r="P666" s="1085">
        <f>H644</f>
        <v>60000</v>
      </c>
      <c r="Q666" s="380">
        <f>$S$689</f>
        <v>0.06</v>
      </c>
      <c r="R666" s="373"/>
      <c r="S666" s="328"/>
      <c r="T666" s="328"/>
      <c r="U666" s="328"/>
      <c r="V666" s="328"/>
      <c r="W666" s="328"/>
    </row>
    <row r="667" spans="2:23">
      <c r="C667" s="84"/>
      <c r="D667" s="328"/>
      <c r="F667" s="373" t="s">
        <v>768</v>
      </c>
      <c r="G667" s="373"/>
      <c r="H667" s="381">
        <f>$Q$646</f>
        <v>0.4</v>
      </c>
      <c r="I667" s="374" t="s">
        <v>267</v>
      </c>
      <c r="J667" s="381">
        <f>$S$637</f>
        <v>0.03</v>
      </c>
      <c r="K667" s="374" t="s">
        <v>63</v>
      </c>
      <c r="L667" s="382">
        <f>H667*J667</f>
        <v>1.2E-2</v>
      </c>
      <c r="M667" s="374" t="s">
        <v>511</v>
      </c>
      <c r="N667" s="373"/>
      <c r="O667" s="383">
        <f>H646</f>
        <v>40000</v>
      </c>
      <c r="P667" s="1561">
        <f>H644</f>
        <v>60000</v>
      </c>
      <c r="Q667" s="1561"/>
      <c r="R667" s="373"/>
      <c r="S667" s="328"/>
      <c r="T667" s="328"/>
      <c r="U667" s="328"/>
      <c r="V667" s="328"/>
      <c r="W667" s="328"/>
    </row>
    <row r="668" spans="2:23">
      <c r="C668" s="84"/>
      <c r="D668" s="328"/>
      <c r="F668" s="384" t="s">
        <v>767</v>
      </c>
      <c r="G668" s="373"/>
      <c r="H668" s="381">
        <f>$Q$644</f>
        <v>0.6</v>
      </c>
      <c r="I668" s="374" t="s">
        <v>267</v>
      </c>
      <c r="J668" s="381">
        <f>$S$638</f>
        <v>0.06</v>
      </c>
      <c r="K668" s="374" t="s">
        <v>63</v>
      </c>
      <c r="L668" s="382">
        <f>H668*J668</f>
        <v>3.5999999999999997E-2</v>
      </c>
      <c r="M668" s="374" t="s">
        <v>511</v>
      </c>
      <c r="N668" s="373"/>
      <c r="O668" s="373"/>
      <c r="P668" s="373"/>
      <c r="Q668" s="373"/>
      <c r="R668" s="373"/>
      <c r="S668" s="328"/>
      <c r="T668" s="328"/>
      <c r="U668" s="328"/>
      <c r="V668" s="328"/>
      <c r="W668" s="328"/>
    </row>
    <row r="669" spans="2:23">
      <c r="C669" s="84"/>
      <c r="D669" s="328"/>
      <c r="F669" s="384" t="s">
        <v>766</v>
      </c>
      <c r="G669" s="373"/>
      <c r="H669" s="373"/>
      <c r="I669" s="373"/>
      <c r="J669" s="373"/>
      <c r="K669" s="385" t="s">
        <v>513</v>
      </c>
      <c r="L669" s="382">
        <f>SUM(L667:L668)</f>
        <v>4.8000000000000001E-2</v>
      </c>
      <c r="M669" s="374" t="s">
        <v>511</v>
      </c>
      <c r="N669" s="375"/>
      <c r="O669" s="368" t="s">
        <v>63</v>
      </c>
      <c r="P669" s="386">
        <f>(N666*O666+P666*Q666)/(O667+P667)</f>
        <v>4.8000000000000001E-2</v>
      </c>
      <c r="Q669" s="373"/>
      <c r="R669" s="373"/>
      <c r="S669" s="328"/>
      <c r="T669" s="328"/>
      <c r="U669" s="328"/>
      <c r="V669" s="328"/>
      <c r="W669" s="328"/>
    </row>
    <row r="670" spans="2:23">
      <c r="C670" s="84"/>
      <c r="D670" s="328"/>
      <c r="E670" s="328"/>
      <c r="F670" s="328"/>
      <c r="G670" s="328"/>
      <c r="H670" s="328"/>
      <c r="I670" s="328"/>
      <c r="J670" s="328"/>
      <c r="K670" s="328"/>
      <c r="L670" s="328"/>
      <c r="M670" s="328"/>
      <c r="N670" s="328"/>
      <c r="O670" s="328"/>
      <c r="P670" s="328"/>
      <c r="Q670" s="328"/>
      <c r="R670" s="328"/>
      <c r="S670" s="328"/>
      <c r="T670" s="328"/>
      <c r="U670" s="328"/>
      <c r="V670" s="328"/>
      <c r="W670" s="328"/>
    </row>
    <row r="671" spans="2:23">
      <c r="C671" s="84"/>
      <c r="D671" s="328"/>
      <c r="E671" s="328"/>
      <c r="F671" s="328"/>
      <c r="G671" s="328"/>
      <c r="H671" s="328"/>
      <c r="I671" s="328"/>
      <c r="J671" s="328"/>
      <c r="K671" s="328"/>
      <c r="L671" s="328"/>
      <c r="M671" s="328"/>
      <c r="N671" s="328"/>
      <c r="O671" s="328"/>
      <c r="P671" s="328"/>
      <c r="Q671" s="328"/>
      <c r="R671" s="328"/>
      <c r="S671" s="328"/>
      <c r="T671" s="328"/>
      <c r="U671" s="328"/>
      <c r="V671" s="328"/>
      <c r="W671" s="328"/>
    </row>
    <row r="672" spans="2:23">
      <c r="B672" s="328"/>
      <c r="C672" s="328"/>
      <c r="D672" s="1279" t="s">
        <v>1453</v>
      </c>
      <c r="E672" s="1280"/>
      <c r="F672" s="1280"/>
      <c r="G672" s="1280"/>
      <c r="H672" s="328"/>
      <c r="I672" s="328"/>
      <c r="J672" s="328"/>
      <c r="K672" s="328"/>
      <c r="L672" s="328"/>
      <c r="M672" s="328"/>
      <c r="N672" s="328"/>
      <c r="O672" s="328"/>
      <c r="P672" s="328"/>
      <c r="Q672" s="328"/>
      <c r="R672" s="328"/>
      <c r="S672" s="328"/>
      <c r="T672" s="328"/>
      <c r="U672" s="328"/>
      <c r="V672" s="328"/>
      <c r="W672" s="328"/>
    </row>
    <row r="673" spans="2:27">
      <c r="B673" s="328"/>
      <c r="C673" s="328"/>
      <c r="D673" s="1266" t="s">
        <v>1454</v>
      </c>
      <c r="E673" s="328"/>
      <c r="F673" s="328"/>
      <c r="G673" s="328"/>
      <c r="H673" s="328"/>
      <c r="I673" s="328"/>
      <c r="J673" s="328"/>
      <c r="K673" s="328"/>
      <c r="L673" s="328"/>
      <c r="M673" s="328"/>
      <c r="N673" s="328"/>
      <c r="O673" s="328"/>
      <c r="P673" s="328"/>
      <c r="Q673" s="328"/>
      <c r="R673" s="328"/>
      <c r="S673" s="328"/>
      <c r="T673" s="328"/>
      <c r="U673" s="328"/>
      <c r="V673" s="328"/>
      <c r="W673" s="328"/>
    </row>
    <row r="674" spans="2:27">
      <c r="B674" s="328"/>
      <c r="C674" s="328"/>
      <c r="D674" s="1266"/>
      <c r="E674" s="1266" t="s">
        <v>1455</v>
      </c>
      <c r="F674" s="328"/>
      <c r="G674" s="328"/>
      <c r="H674" s="328"/>
      <c r="I674" s="328"/>
      <c r="J674" s="328"/>
      <c r="K674" s="328"/>
      <c r="L674" s="328"/>
      <c r="M674" s="328"/>
      <c r="N674" s="328"/>
      <c r="O674" s="328"/>
      <c r="P674" s="328"/>
      <c r="Q674" s="328"/>
      <c r="R674" s="328"/>
      <c r="S674" s="328"/>
      <c r="T674" s="328"/>
      <c r="U674" s="328"/>
      <c r="V674" s="328"/>
      <c r="W674" s="328"/>
    </row>
    <row r="675" spans="2:27">
      <c r="B675" s="328"/>
      <c r="C675" s="328"/>
      <c r="D675" s="1266" t="s">
        <v>1456</v>
      </c>
      <c r="E675" s="1266"/>
      <c r="F675" s="328"/>
      <c r="G675" s="328"/>
      <c r="H675" s="328"/>
      <c r="I675" s="328"/>
      <c r="J675" s="328"/>
      <c r="K675" s="328"/>
      <c r="L675" s="328"/>
      <c r="M675" s="328"/>
      <c r="N675" s="328"/>
      <c r="O675" s="328"/>
      <c r="P675" s="328"/>
      <c r="Q675" s="328"/>
      <c r="R675" s="328"/>
      <c r="S675" s="328"/>
      <c r="T675" s="328"/>
      <c r="U675" s="328"/>
      <c r="V675" s="328"/>
      <c r="W675" s="328"/>
    </row>
    <row r="676" spans="2:27">
      <c r="B676" s="328"/>
      <c r="C676" s="328"/>
      <c r="D676" s="1266" t="s">
        <v>1457</v>
      </c>
      <c r="E676" s="1266"/>
      <c r="F676" s="328"/>
      <c r="G676" s="328"/>
      <c r="H676" s="328"/>
      <c r="I676" s="328"/>
      <c r="J676" s="328"/>
      <c r="K676" s="328"/>
      <c r="L676" s="328"/>
      <c r="M676" s="328"/>
      <c r="N676" s="328"/>
      <c r="O676" s="328"/>
      <c r="P676" s="328"/>
      <c r="Q676" s="328"/>
      <c r="R676" s="328"/>
      <c r="S676" s="328"/>
      <c r="T676" s="328"/>
      <c r="U676" s="328"/>
      <c r="V676" s="328"/>
      <c r="W676" s="328"/>
    </row>
    <row r="677" spans="2:27">
      <c r="B677" s="328"/>
      <c r="C677" s="328"/>
      <c r="D677" s="1266"/>
      <c r="E677" s="1266"/>
      <c r="F677" s="328"/>
      <c r="G677" s="328"/>
      <c r="H677" s="328"/>
      <c r="I677" s="328"/>
      <c r="J677" s="328"/>
      <c r="K677" s="328"/>
      <c r="L677" s="328"/>
      <c r="M677" s="328"/>
      <c r="N677" s="328"/>
      <c r="O677" s="328"/>
      <c r="P677" s="328"/>
      <c r="Q677" s="328"/>
      <c r="R677" s="328"/>
      <c r="S677" s="328"/>
      <c r="T677" s="328"/>
      <c r="U677" s="328"/>
      <c r="V677" s="328"/>
      <c r="W677" s="328"/>
    </row>
    <row r="678" spans="2:27">
      <c r="B678" s="328"/>
      <c r="C678" s="328"/>
      <c r="D678" s="1072" t="s">
        <v>1458</v>
      </c>
      <c r="E678" s="328"/>
      <c r="F678" s="328"/>
      <c r="G678" s="328"/>
      <c r="H678" s="328"/>
      <c r="I678" s="328"/>
      <c r="J678" s="328"/>
      <c r="K678" s="328"/>
      <c r="L678" s="328"/>
      <c r="M678" s="328"/>
      <c r="N678" s="328"/>
      <c r="O678" s="328"/>
      <c r="P678" s="328"/>
      <c r="Q678" s="328"/>
      <c r="R678" s="328"/>
      <c r="S678" s="328"/>
      <c r="T678" s="328"/>
      <c r="U678" s="328"/>
      <c r="V678" s="328"/>
      <c r="W678" s="328"/>
    </row>
    <row r="679" spans="2:27">
      <c r="B679" s="328"/>
      <c r="C679" s="328"/>
      <c r="D679" s="1072" t="s">
        <v>1462</v>
      </c>
      <c r="E679" s="328"/>
      <c r="F679" s="328"/>
      <c r="G679" s="328"/>
      <c r="H679" s="328"/>
      <c r="I679" s="328"/>
      <c r="J679" s="328"/>
      <c r="K679" s="328"/>
      <c r="L679" s="328"/>
      <c r="M679" s="328"/>
      <c r="N679" s="328"/>
      <c r="O679" s="328"/>
      <c r="P679" s="328"/>
      <c r="Q679" s="328"/>
      <c r="R679" s="328"/>
      <c r="S679" s="328"/>
      <c r="T679" s="328"/>
      <c r="U679" s="328"/>
      <c r="V679" s="328"/>
      <c r="W679" s="328"/>
    </row>
    <row r="680" spans="2:27">
      <c r="B680" s="328"/>
      <c r="C680" s="328"/>
      <c r="D680" s="1072" t="s">
        <v>1468</v>
      </c>
      <c r="E680" s="328"/>
      <c r="F680" s="328"/>
      <c r="G680" s="328"/>
      <c r="H680" s="328"/>
      <c r="I680" s="1266" t="s">
        <v>1450</v>
      </c>
      <c r="J680" s="328"/>
      <c r="K680" s="328"/>
      <c r="L680" s="328"/>
      <c r="M680" s="328"/>
      <c r="O680" s="87"/>
      <c r="P680" s="1268" t="s">
        <v>1449</v>
      </c>
      <c r="Q680" s="328"/>
      <c r="S680" s="328"/>
      <c r="T680" s="328"/>
      <c r="U680" s="328"/>
      <c r="V680" s="328"/>
      <c r="W680" s="328"/>
    </row>
    <row r="681" spans="2:27">
      <c r="B681" s="328"/>
      <c r="C681" s="328"/>
      <c r="E681" s="328"/>
      <c r="F681" s="328"/>
      <c r="G681" s="328"/>
      <c r="I681" s="1266" t="s">
        <v>1451</v>
      </c>
      <c r="J681" s="328"/>
      <c r="K681" s="328"/>
      <c r="L681" s="328"/>
      <c r="M681" s="328"/>
      <c r="O681" s="87"/>
      <c r="P681" s="1269">
        <v>2</v>
      </c>
      <c r="Q681" s="328"/>
      <c r="S681" s="328"/>
      <c r="T681" s="328"/>
      <c r="U681" s="328"/>
      <c r="V681" s="328"/>
      <c r="W681" s="328"/>
    </row>
    <row r="682" spans="2:27">
      <c r="B682" s="328"/>
      <c r="C682" s="328"/>
      <c r="D682" s="1090" t="s">
        <v>1461</v>
      </c>
      <c r="E682" s="328"/>
      <c r="F682" s="328"/>
      <c r="G682" s="328"/>
      <c r="H682" s="328"/>
      <c r="I682" s="328"/>
      <c r="J682" s="328"/>
      <c r="K682" s="328"/>
      <c r="L682" s="328"/>
      <c r="M682" s="109"/>
      <c r="N682" s="87"/>
      <c r="O682" s="1142" t="s">
        <v>1459</v>
      </c>
      <c r="P682" s="87"/>
      <c r="R682" s="328"/>
      <c r="S682" s="328"/>
      <c r="T682" s="328"/>
      <c r="U682" s="328"/>
      <c r="V682" s="328"/>
      <c r="W682" s="328"/>
    </row>
    <row r="683" spans="2:27">
      <c r="C683" s="84"/>
      <c r="D683" s="328"/>
      <c r="E683" s="328"/>
      <c r="F683" s="328"/>
      <c r="G683" s="328"/>
      <c r="H683" s="328"/>
      <c r="I683" s="328"/>
      <c r="J683" s="328"/>
      <c r="K683" s="328"/>
      <c r="L683" s="328"/>
      <c r="M683" s="328"/>
      <c r="N683" s="328"/>
      <c r="O683" s="328"/>
      <c r="P683" s="328"/>
      <c r="Q683" s="328"/>
      <c r="R683" s="328"/>
      <c r="S683" s="328"/>
      <c r="T683" s="328"/>
      <c r="U683" s="328"/>
      <c r="V683" s="328"/>
      <c r="W683" s="328"/>
    </row>
    <row r="684" spans="2:27">
      <c r="C684" s="84"/>
      <c r="D684" s="328"/>
      <c r="E684" s="328"/>
      <c r="F684" s="328"/>
      <c r="G684" s="328"/>
      <c r="H684" s="328"/>
      <c r="I684" s="328"/>
      <c r="J684" s="328"/>
      <c r="K684" s="328"/>
      <c r="L684" s="328"/>
      <c r="M684" s="328"/>
      <c r="N684" s="328"/>
      <c r="O684" s="328"/>
      <c r="P684" s="328"/>
      <c r="Q684" s="328"/>
      <c r="R684" s="328"/>
      <c r="S684" s="328"/>
      <c r="T684" s="328"/>
      <c r="U684" s="328"/>
      <c r="V684" s="328"/>
      <c r="W684" s="328"/>
    </row>
    <row r="685" spans="2:27">
      <c r="C685" s="84"/>
      <c r="D685" s="328"/>
      <c r="E685" s="328"/>
      <c r="F685" s="328"/>
      <c r="G685" s="328"/>
      <c r="H685" s="328"/>
      <c r="I685" s="328"/>
      <c r="J685" s="328"/>
      <c r="K685" s="328"/>
      <c r="L685" s="328"/>
      <c r="M685" s="328"/>
      <c r="N685" s="328"/>
      <c r="O685" s="328"/>
      <c r="P685" s="328"/>
      <c r="Q685" s="328"/>
      <c r="R685" s="328"/>
      <c r="S685" s="328"/>
      <c r="T685" s="328"/>
      <c r="U685" s="328"/>
      <c r="V685" s="328"/>
      <c r="W685" s="328"/>
    </row>
    <row r="686" spans="2:27">
      <c r="C686" s="356" t="s">
        <v>785</v>
      </c>
      <c r="F686" s="356" t="s">
        <v>1442</v>
      </c>
      <c r="H686" s="331"/>
      <c r="I686" s="328"/>
      <c r="J686" s="328"/>
      <c r="K686" s="328"/>
      <c r="L686" s="328"/>
      <c r="M686" s="328"/>
      <c r="N686" s="328"/>
      <c r="O686" s="328"/>
      <c r="P686" s="328"/>
      <c r="Q686" s="328"/>
      <c r="R686" s="328"/>
      <c r="S686" s="328"/>
      <c r="T686" s="328"/>
      <c r="U686" s="328"/>
      <c r="V686" s="328"/>
      <c r="W686" s="328"/>
    </row>
    <row r="687" spans="2:27">
      <c r="C687" s="84"/>
      <c r="D687" s="328"/>
      <c r="E687" s="328"/>
      <c r="F687" s="328" t="s">
        <v>784</v>
      </c>
      <c r="I687" s="328"/>
      <c r="J687" s="328"/>
      <c r="K687" s="328"/>
      <c r="L687" s="328"/>
      <c r="M687" s="328"/>
      <c r="N687" s="328"/>
      <c r="O687" s="328"/>
      <c r="P687" s="328"/>
      <c r="Q687" s="328"/>
      <c r="R687" s="328"/>
      <c r="S687" s="328"/>
      <c r="T687" s="328"/>
      <c r="U687" s="328"/>
      <c r="V687" s="328"/>
      <c r="W687" s="328"/>
    </row>
    <row r="688" spans="2:27" ht="18.600000000000001">
      <c r="B688" s="182"/>
      <c r="C688" s="84"/>
      <c r="D688" s="329" t="s">
        <v>783</v>
      </c>
      <c r="F688" s="328"/>
      <c r="G688" s="328"/>
      <c r="H688" s="328"/>
      <c r="I688" s="328"/>
      <c r="J688" s="328"/>
      <c r="K688" s="328"/>
      <c r="L688" s="328"/>
      <c r="M688" s="328"/>
      <c r="N688" s="328"/>
      <c r="O688" s="328"/>
      <c r="P688" s="328"/>
      <c r="Q688" s="328"/>
      <c r="R688" s="328"/>
      <c r="S688" s="332">
        <f>S637</f>
        <v>0.03</v>
      </c>
      <c r="T688" s="328" t="s">
        <v>781</v>
      </c>
      <c r="U688" s="328"/>
      <c r="V688" s="328"/>
      <c r="W688" s="328"/>
      <c r="X688" s="328"/>
      <c r="Z688" s="328"/>
      <c r="AA688" s="328"/>
    </row>
    <row r="689" spans="3:27">
      <c r="C689" s="84"/>
      <c r="D689" s="329" t="s">
        <v>782</v>
      </c>
      <c r="F689" s="328"/>
      <c r="G689" s="328"/>
      <c r="H689" s="328"/>
      <c r="I689" s="328"/>
      <c r="J689" s="328"/>
      <c r="K689" s="328"/>
      <c r="L689" s="328"/>
      <c r="M689" s="328"/>
      <c r="N689" s="328"/>
      <c r="O689" s="328"/>
      <c r="P689" s="328"/>
      <c r="Q689" s="328"/>
      <c r="R689" s="328"/>
      <c r="S689" s="332">
        <f>S638</f>
        <v>0.06</v>
      </c>
      <c r="T689" s="328" t="s">
        <v>780</v>
      </c>
      <c r="U689" s="328"/>
      <c r="V689" s="328"/>
      <c r="W689" s="328"/>
      <c r="X689" s="328"/>
      <c r="Z689" s="328"/>
      <c r="AA689" s="328"/>
    </row>
    <row r="690" spans="3:27">
      <c r="C690" s="84"/>
      <c r="D690" s="1267" t="s">
        <v>1469</v>
      </c>
      <c r="F690" s="328"/>
      <c r="G690" s="328"/>
      <c r="H690" s="328"/>
      <c r="I690" s="328"/>
      <c r="J690" s="328"/>
      <c r="K690" s="328"/>
      <c r="L690" s="328"/>
      <c r="M690" s="328"/>
      <c r="N690" s="328"/>
      <c r="O690" s="328"/>
      <c r="P690" s="328"/>
      <c r="Q690" s="328"/>
      <c r="R690" s="328"/>
      <c r="S690" s="328"/>
      <c r="T690" s="328"/>
      <c r="U690" s="328"/>
      <c r="V690" s="328"/>
      <c r="W690" s="328"/>
    </row>
    <row r="691" spans="3:27">
      <c r="C691" s="84"/>
      <c r="D691" s="328"/>
      <c r="E691" s="328"/>
      <c r="F691" s="328"/>
      <c r="G691" s="328"/>
      <c r="H691" s="328"/>
      <c r="I691" s="328"/>
      <c r="J691" s="328"/>
      <c r="K691" s="328"/>
      <c r="L691" s="328"/>
      <c r="M691" s="328"/>
      <c r="O691" s="1271" t="s">
        <v>1452</v>
      </c>
      <c r="P691" s="357"/>
      <c r="Q691" s="328"/>
      <c r="R691" s="328"/>
      <c r="S691" s="328"/>
      <c r="T691" s="328"/>
      <c r="U691" s="328"/>
      <c r="V691" s="328"/>
      <c r="W691" s="328"/>
    </row>
    <row r="692" spans="3:27" ht="15.6">
      <c r="C692" s="84"/>
      <c r="D692" s="333"/>
      <c r="E692" s="330"/>
      <c r="F692" s="330"/>
      <c r="G692" s="1073" t="s">
        <v>272</v>
      </c>
      <c r="H692" s="1274">
        <v>0</v>
      </c>
      <c r="I692" s="1275">
        <f>H692+1</f>
        <v>1</v>
      </c>
      <c r="J692" s="1275">
        <f>I692+1</f>
        <v>2</v>
      </c>
      <c r="K692" s="1275">
        <f>J692+1</f>
        <v>3</v>
      </c>
      <c r="L692" s="1275">
        <f>K692+1</f>
        <v>4</v>
      </c>
      <c r="M692" s="1276">
        <f>L692+1</f>
        <v>5</v>
      </c>
      <c r="N692" s="1272" t="s">
        <v>1460</v>
      </c>
      <c r="O692" s="1277" t="s">
        <v>778</v>
      </c>
      <c r="P692" s="1278" t="s">
        <v>777</v>
      </c>
      <c r="Q692" s="1276" t="s">
        <v>1163</v>
      </c>
      <c r="S692" s="328"/>
      <c r="T692" s="328"/>
      <c r="U692" s="328"/>
      <c r="V692" s="328"/>
      <c r="W692" s="328"/>
    </row>
    <row r="693" spans="3:27" ht="14.4">
      <c r="C693" s="84"/>
      <c r="D693" s="334" t="s">
        <v>776</v>
      </c>
      <c r="E693" s="335"/>
      <c r="F693" s="335"/>
      <c r="G693" s="1080" t="s">
        <v>27</v>
      </c>
      <c r="H693" s="1287">
        <f>$H$642</f>
        <v>100000</v>
      </c>
      <c r="I693" s="336">
        <f>IF(H693&lt;0.01,0,H693-I694)</f>
        <v>80000</v>
      </c>
      <c r="J693" s="336">
        <f>IF(I693&lt;0.01,0,I693-J694)</f>
        <v>60000</v>
      </c>
      <c r="K693" s="336">
        <f>IF(J693&lt;0.01,0,J693-K694)</f>
        <v>40000</v>
      </c>
      <c r="L693" s="336">
        <f>IF(K693&lt;0.01,0,K693-L694)</f>
        <v>20000</v>
      </c>
      <c r="M693" s="337">
        <f>IF(L693&lt;0.01,0,L693-M694)</f>
        <v>0</v>
      </c>
      <c r="N693" s="338" t="s">
        <v>773</v>
      </c>
      <c r="O693" s="1074">
        <f>SUM(H693:M693)</f>
        <v>300000</v>
      </c>
      <c r="P693" s="1075">
        <f>AVERAGE(H693:M693)</f>
        <v>50000</v>
      </c>
      <c r="Q693" s="1076">
        <f>P693/$P$693</f>
        <v>1</v>
      </c>
      <c r="S693" s="328"/>
      <c r="T693" s="328"/>
      <c r="U693" s="328"/>
      <c r="V693" s="328"/>
      <c r="W693" s="328"/>
    </row>
    <row r="694" spans="3:27">
      <c r="C694" s="84"/>
      <c r="D694" s="339" t="s">
        <v>95</v>
      </c>
      <c r="E694" s="340"/>
      <c r="F694" s="340"/>
      <c r="G694" s="1081" t="s">
        <v>354</v>
      </c>
      <c r="H694" s="341"/>
      <c r="I694" s="342">
        <f>IF(H693&lt;0.01,0,$H$693*$T$694)</f>
        <v>20000</v>
      </c>
      <c r="J694" s="342">
        <f>IF(I693&lt;0.01,0,$H$693*$T$694)</f>
        <v>20000</v>
      </c>
      <c r="K694" s="342">
        <f>IF(J693&lt;0.01,0,$H$693*$T$694)</f>
        <v>20000</v>
      </c>
      <c r="L694" s="342">
        <f>IF(K693&lt;0.01,0,$H$693*$T$694)</f>
        <v>20000</v>
      </c>
      <c r="M694" s="343">
        <f>IF(L693&lt;0.01,0,$H$693*$T$694)</f>
        <v>20000</v>
      </c>
      <c r="N694" s="338" t="s">
        <v>773</v>
      </c>
      <c r="O694" s="344">
        <f>SUM(H694:M694)</f>
        <v>100000</v>
      </c>
      <c r="P694" s="345"/>
      <c r="Q694" s="343"/>
      <c r="S694" s="328"/>
      <c r="T694" s="346">
        <v>0.2</v>
      </c>
      <c r="U694" s="328"/>
      <c r="V694" s="328"/>
      <c r="W694" s="328"/>
    </row>
    <row r="695" spans="3:27">
      <c r="C695" s="84"/>
      <c r="D695" s="347" t="s">
        <v>775</v>
      </c>
      <c r="E695" s="335"/>
      <c r="F695" s="335"/>
      <c r="G695" s="1080" t="s">
        <v>27</v>
      </c>
      <c r="H695" s="348">
        <f>$H$644</f>
        <v>60000</v>
      </c>
      <c r="I695" s="336">
        <f>IF(H695&lt;0.01,0,H695-I696)</f>
        <v>30000</v>
      </c>
      <c r="J695" s="336">
        <f>IF(I695&lt;0.01,0,I695-J696)</f>
        <v>0</v>
      </c>
      <c r="K695" s="336">
        <f>IF(J695&lt;0.01,0,J695-K696)</f>
        <v>0</v>
      </c>
      <c r="L695" s="336">
        <f>IF(K695&lt;0.01,0,K695-L696)</f>
        <v>0</v>
      </c>
      <c r="M695" s="337">
        <f>IF(L695&lt;0.01,0,L695-M696)</f>
        <v>0</v>
      </c>
      <c r="N695" s="338" t="s">
        <v>773</v>
      </c>
      <c r="O695" s="1074">
        <f>SUM(H695:M695)</f>
        <v>90000</v>
      </c>
      <c r="P695" s="1075">
        <f>AVERAGE(H695:M695)</f>
        <v>15000</v>
      </c>
      <c r="Q695" s="1076">
        <f>P695/$P$693</f>
        <v>0.3</v>
      </c>
      <c r="S695" s="328"/>
      <c r="T695" s="328"/>
      <c r="U695" s="328"/>
      <c r="V695" s="328"/>
      <c r="W695" s="328"/>
    </row>
    <row r="696" spans="3:27">
      <c r="C696" s="84"/>
      <c r="D696" s="339" t="s">
        <v>774</v>
      </c>
      <c r="E696" s="340"/>
      <c r="F696" s="340"/>
      <c r="G696" s="1081" t="s">
        <v>354</v>
      </c>
      <c r="H696" s="341"/>
      <c r="I696" s="342">
        <f>IF($H$698&lt;I692,0,$H$695/$H$698)</f>
        <v>30000</v>
      </c>
      <c r="J696" s="342">
        <f>IF($H$698&lt;J692,0,$H$695/$H$698)</f>
        <v>30000</v>
      </c>
      <c r="K696" s="342">
        <f>IF($H$698&lt;K692,0,$H$695/$H$698)</f>
        <v>0</v>
      </c>
      <c r="L696" s="342">
        <f>IF($H$698&lt;L692,0,$H$695/$H$698)</f>
        <v>0</v>
      </c>
      <c r="M696" s="343">
        <f>IF($H$698&lt;M692,0,$H$695/$H$698)</f>
        <v>0</v>
      </c>
      <c r="N696" s="338" t="s">
        <v>773</v>
      </c>
      <c r="O696" s="344">
        <f>SUM(H696:M696)</f>
        <v>60000</v>
      </c>
      <c r="P696" s="345"/>
      <c r="Q696" s="343"/>
      <c r="S696" s="328"/>
      <c r="T696" s="328"/>
      <c r="U696" s="328"/>
      <c r="V696" s="328"/>
      <c r="W696" s="328"/>
    </row>
    <row r="697" spans="3:27">
      <c r="C697" s="84"/>
      <c r="D697" s="349" t="s">
        <v>768</v>
      </c>
      <c r="E697" s="350"/>
      <c r="F697" s="350"/>
      <c r="G697" s="1082" t="s">
        <v>27</v>
      </c>
      <c r="H697" s="351">
        <f t="shared" ref="H697:M697" si="1">H693-H695</f>
        <v>40000</v>
      </c>
      <c r="I697" s="352">
        <f t="shared" si="1"/>
        <v>50000</v>
      </c>
      <c r="J697" s="352">
        <f t="shared" si="1"/>
        <v>60000</v>
      </c>
      <c r="K697" s="352">
        <f t="shared" si="1"/>
        <v>40000</v>
      </c>
      <c r="L697" s="352">
        <f t="shared" si="1"/>
        <v>20000</v>
      </c>
      <c r="M697" s="353">
        <f t="shared" si="1"/>
        <v>0</v>
      </c>
      <c r="N697" s="338" t="s">
        <v>773</v>
      </c>
      <c r="O697" s="1077">
        <f>SUM(H697:M697)</f>
        <v>210000</v>
      </c>
      <c r="P697" s="1078">
        <f>AVERAGE(H697:M697)</f>
        <v>35000</v>
      </c>
      <c r="Q697" s="1079">
        <f>P697/$P$693</f>
        <v>0.7</v>
      </c>
      <c r="S697" s="328"/>
      <c r="T697" s="328"/>
      <c r="U697" s="328"/>
      <c r="V697" s="328"/>
      <c r="W697" s="328"/>
    </row>
    <row r="698" spans="3:27">
      <c r="C698" s="84"/>
      <c r="D698" s="328"/>
      <c r="E698" s="370" t="s">
        <v>779</v>
      </c>
      <c r="F698" s="370"/>
      <c r="G698" s="370"/>
      <c r="H698" s="388">
        <v>2</v>
      </c>
      <c r="I698" s="370" t="s">
        <v>65</v>
      </c>
      <c r="K698" s="354"/>
      <c r="L698" s="354"/>
      <c r="M698" s="354"/>
      <c r="N698" s="354"/>
      <c r="O698" s="328"/>
      <c r="P698" s="328"/>
      <c r="Q698" s="328"/>
      <c r="R698" s="328"/>
      <c r="S698" s="328"/>
      <c r="T698" s="328"/>
      <c r="U698" s="328"/>
      <c r="V698" s="328"/>
      <c r="W698" s="328"/>
    </row>
    <row r="699" spans="3:27">
      <c r="C699" s="84"/>
      <c r="D699" s="328"/>
      <c r="E699" s="370"/>
      <c r="F699" s="370"/>
      <c r="G699" s="354"/>
      <c r="H699" s="354"/>
      <c r="I699" s="354"/>
      <c r="J699" s="354"/>
      <c r="K699" s="354"/>
      <c r="L699" s="354"/>
      <c r="M699" s="354"/>
      <c r="N699" s="354"/>
      <c r="O699" s="328"/>
      <c r="P699" s="328"/>
      <c r="Q699" s="328"/>
      <c r="R699" s="328"/>
      <c r="S699" s="328"/>
      <c r="T699" s="328"/>
      <c r="U699" s="328"/>
      <c r="V699" s="328"/>
      <c r="W699" s="328"/>
    </row>
    <row r="700" spans="3:27">
      <c r="C700" s="84"/>
      <c r="D700" s="328"/>
      <c r="E700" s="328"/>
      <c r="F700" s="328"/>
      <c r="G700" s="328"/>
      <c r="H700" s="328"/>
      <c r="I700" s="328"/>
      <c r="J700" s="328"/>
      <c r="K700" s="328"/>
      <c r="U700" s="328"/>
      <c r="V700" s="328"/>
      <c r="W700" s="328"/>
    </row>
    <row r="701" spans="3:27" ht="15.6">
      <c r="C701" s="84"/>
      <c r="D701" s="328"/>
      <c r="E701" s="328"/>
      <c r="F701" s="328"/>
      <c r="G701" s="328"/>
      <c r="H701" s="328"/>
      <c r="I701" s="328"/>
      <c r="J701" s="328"/>
      <c r="K701" s="328"/>
      <c r="L701" s="354"/>
      <c r="M701" s="328"/>
      <c r="N701" s="369" t="s">
        <v>1225</v>
      </c>
      <c r="O701" s="357"/>
      <c r="P701" s="357"/>
      <c r="Q701" s="357"/>
      <c r="S701" s="328"/>
      <c r="T701" s="328"/>
      <c r="U701" s="328"/>
      <c r="V701" s="328"/>
      <c r="W701" s="328"/>
    </row>
    <row r="702" spans="3:27">
      <c r="C702" s="84"/>
      <c r="D702" s="328"/>
      <c r="E702" s="328"/>
      <c r="F702" s="328"/>
      <c r="G702" s="328"/>
      <c r="H702" s="328"/>
      <c r="I702" s="328"/>
      <c r="J702" s="328"/>
      <c r="K702" s="328"/>
      <c r="M702" s="145" t="s">
        <v>504</v>
      </c>
      <c r="N702" s="1089" t="s">
        <v>387</v>
      </c>
      <c r="O702" s="357"/>
      <c r="P702" s="357"/>
      <c r="Q702" s="357"/>
      <c r="S702" s="328"/>
      <c r="T702" s="328"/>
      <c r="U702" s="328"/>
      <c r="V702" s="328"/>
      <c r="W702" s="328"/>
    </row>
    <row r="703" spans="3:27" ht="15.6">
      <c r="C703" s="84"/>
      <c r="D703" s="328"/>
      <c r="E703" s="328"/>
      <c r="F703" s="328"/>
      <c r="G703" s="328"/>
      <c r="H703" s="328"/>
      <c r="I703" s="328"/>
      <c r="J703" s="328"/>
      <c r="K703" s="328"/>
      <c r="L703" s="328"/>
      <c r="M703" s="328"/>
      <c r="N703" s="369" t="s">
        <v>1224</v>
      </c>
      <c r="O703" s="357"/>
      <c r="P703" s="357"/>
      <c r="Q703" s="357"/>
      <c r="S703" s="328"/>
      <c r="T703" s="328"/>
      <c r="U703" s="328"/>
      <c r="V703" s="328"/>
      <c r="W703" s="328"/>
    </row>
    <row r="704" spans="3:27">
      <c r="C704" s="84"/>
      <c r="D704" s="328"/>
      <c r="E704" s="328"/>
      <c r="F704" s="328"/>
      <c r="G704" s="328"/>
      <c r="H704" s="328"/>
      <c r="I704" s="328"/>
      <c r="J704" s="328"/>
      <c r="K704" s="328"/>
      <c r="L704" s="354"/>
      <c r="S704" s="328"/>
      <c r="T704" s="328"/>
      <c r="U704" s="328"/>
      <c r="V704" s="328"/>
      <c r="W704" s="328"/>
    </row>
    <row r="705" spans="3:23" ht="15">
      <c r="C705" s="84"/>
      <c r="D705" s="328"/>
      <c r="E705" s="328"/>
      <c r="F705" s="328"/>
      <c r="G705" s="328"/>
      <c r="H705" s="328"/>
      <c r="I705" s="328"/>
      <c r="J705" s="328"/>
      <c r="K705" s="328"/>
      <c r="L705" s="354"/>
      <c r="M705" s="389" t="s">
        <v>516</v>
      </c>
      <c r="N705" s="367" t="s">
        <v>505</v>
      </c>
      <c r="S705" s="328"/>
      <c r="T705" s="328"/>
      <c r="U705" s="328"/>
      <c r="V705" s="328"/>
      <c r="W705" s="328"/>
    </row>
    <row r="706" spans="3:23" ht="15">
      <c r="C706" s="84"/>
      <c r="D706" s="328"/>
      <c r="E706" s="328"/>
      <c r="F706" s="328"/>
      <c r="G706" s="328"/>
      <c r="H706" s="328"/>
      <c r="I706" s="328"/>
      <c r="J706" s="328"/>
      <c r="K706" s="328"/>
      <c r="L706" s="354"/>
      <c r="M706" s="389" t="s">
        <v>517</v>
      </c>
      <c r="N706" s="367" t="s">
        <v>506</v>
      </c>
      <c r="S706" s="328"/>
      <c r="T706" s="328"/>
      <c r="U706" s="328"/>
      <c r="V706" s="328"/>
      <c r="W706" s="328"/>
    </row>
    <row r="707" spans="3:23" ht="15">
      <c r="C707" s="37"/>
      <c r="D707" s="328"/>
      <c r="E707" s="328"/>
      <c r="F707" s="328"/>
      <c r="G707" s="328"/>
      <c r="H707" s="328"/>
      <c r="I707" s="328"/>
      <c r="J707" s="328"/>
      <c r="K707" s="328"/>
      <c r="L707" s="354"/>
      <c r="M707" s="368" t="s">
        <v>805</v>
      </c>
      <c r="N707" s="367" t="s">
        <v>501</v>
      </c>
      <c r="P707" s="328"/>
      <c r="Q707" s="328"/>
      <c r="R707" s="328"/>
      <c r="S707" s="328"/>
      <c r="T707" s="328"/>
      <c r="U707" s="328"/>
      <c r="V707" s="328"/>
      <c r="W707" s="328"/>
    </row>
    <row r="708" spans="3:23" ht="15">
      <c r="C708" s="37"/>
      <c r="D708" s="328"/>
      <c r="E708" s="328"/>
      <c r="F708" s="328"/>
      <c r="G708" s="328"/>
      <c r="H708" s="328"/>
      <c r="I708" s="328"/>
      <c r="J708" s="328"/>
      <c r="K708" s="328"/>
      <c r="L708" s="354"/>
      <c r="M708" s="368" t="s">
        <v>806</v>
      </c>
      <c r="N708" s="367" t="s">
        <v>502</v>
      </c>
      <c r="P708" s="328"/>
      <c r="Q708" s="328"/>
      <c r="R708" s="328"/>
      <c r="S708" s="328"/>
      <c r="T708" s="328"/>
      <c r="U708" s="328"/>
      <c r="V708" s="328"/>
      <c r="W708" s="328"/>
    </row>
    <row r="709" spans="3:23">
      <c r="C709" s="37"/>
      <c r="D709" s="328"/>
      <c r="E709" s="328"/>
      <c r="F709" s="328"/>
      <c r="G709" s="328"/>
      <c r="H709" s="328"/>
      <c r="I709" s="328"/>
      <c r="J709" s="328"/>
      <c r="K709" s="328"/>
      <c r="L709" s="328"/>
      <c r="M709" s="328"/>
      <c r="N709" s="328"/>
      <c r="O709" s="328"/>
      <c r="P709" s="328"/>
      <c r="Q709" s="328"/>
      <c r="R709" s="328"/>
      <c r="S709" s="328"/>
      <c r="T709" s="328"/>
      <c r="U709" s="328"/>
      <c r="V709" s="328"/>
      <c r="W709" s="328"/>
    </row>
    <row r="710" spans="3:23">
      <c r="C710" s="37"/>
      <c r="D710" s="328"/>
      <c r="E710" s="328"/>
      <c r="F710" s="328"/>
      <c r="G710" s="328"/>
      <c r="H710" s="328"/>
      <c r="I710" s="328"/>
      <c r="J710" s="328"/>
      <c r="K710" s="328"/>
      <c r="L710" s="328"/>
      <c r="M710" s="328"/>
      <c r="N710" s="328"/>
      <c r="O710" s="328"/>
      <c r="P710" s="328"/>
      <c r="Q710" s="328"/>
      <c r="R710" s="328"/>
      <c r="S710" s="328"/>
      <c r="T710" s="328"/>
      <c r="U710" s="328"/>
      <c r="V710" s="328"/>
      <c r="W710" s="328"/>
    </row>
    <row r="711" spans="3:23">
      <c r="C711" s="37"/>
      <c r="D711" s="371" t="s">
        <v>507</v>
      </c>
      <c r="F711" s="328"/>
      <c r="G711" s="328"/>
      <c r="H711" s="328"/>
      <c r="I711" s="328"/>
      <c r="J711" s="328"/>
      <c r="K711" s="328"/>
      <c r="L711" s="328"/>
      <c r="M711" s="328"/>
      <c r="N711" s="328"/>
      <c r="O711" s="328"/>
      <c r="P711" s="328"/>
      <c r="Q711" s="328"/>
      <c r="R711" s="328"/>
      <c r="S711" s="328"/>
      <c r="T711" s="328"/>
      <c r="U711" s="328"/>
      <c r="V711" s="328"/>
      <c r="W711" s="328"/>
    </row>
    <row r="712" spans="3:23">
      <c r="C712" s="37"/>
      <c r="D712" s="371" t="s">
        <v>508</v>
      </c>
      <c r="F712" s="328"/>
      <c r="G712" s="328"/>
      <c r="H712" s="328"/>
      <c r="I712" s="328"/>
      <c r="J712" s="328"/>
      <c r="K712" s="328"/>
      <c r="L712" s="328"/>
      <c r="M712" s="328"/>
      <c r="N712" s="328"/>
      <c r="O712" s="328"/>
      <c r="P712" s="328"/>
      <c r="Q712" s="328"/>
      <c r="R712" s="328"/>
      <c r="S712" s="328"/>
      <c r="T712" s="328"/>
      <c r="U712" s="328"/>
      <c r="V712" s="328"/>
      <c r="W712" s="328"/>
    </row>
    <row r="713" spans="3:23">
      <c r="C713" s="37"/>
      <c r="D713" s="1267" t="s">
        <v>1470</v>
      </c>
      <c r="F713" s="328"/>
      <c r="G713" s="328"/>
      <c r="H713" s="328"/>
      <c r="I713" s="328"/>
      <c r="J713" s="328"/>
      <c r="K713" s="328"/>
      <c r="L713" s="328"/>
      <c r="M713" s="328"/>
      <c r="N713" s="328"/>
      <c r="O713" s="328"/>
      <c r="P713" s="328"/>
      <c r="Q713" s="328"/>
      <c r="R713" s="328"/>
      <c r="S713" s="328"/>
      <c r="T713" s="328"/>
      <c r="U713" s="328"/>
      <c r="V713" s="328"/>
      <c r="W713" s="328"/>
    </row>
    <row r="714" spans="3:23">
      <c r="C714" s="37"/>
      <c r="D714" s="1286" t="s">
        <v>1471</v>
      </c>
      <c r="F714" s="328"/>
      <c r="G714" s="328"/>
      <c r="H714" s="328"/>
      <c r="I714" s="328"/>
      <c r="J714" s="328"/>
      <c r="K714" s="328"/>
      <c r="L714" s="328"/>
      <c r="M714" s="328"/>
      <c r="N714" s="328"/>
      <c r="O714" s="328"/>
      <c r="P714" s="328"/>
      <c r="Q714" s="328"/>
      <c r="R714" s="328"/>
      <c r="S714" s="328"/>
      <c r="T714" s="328"/>
      <c r="U714" s="328"/>
      <c r="V714" s="328"/>
      <c r="W714" s="328"/>
    </row>
    <row r="715" spans="3:23">
      <c r="C715" s="37"/>
      <c r="D715" s="372"/>
      <c r="F715" s="328"/>
      <c r="G715" s="328"/>
      <c r="H715" s="328"/>
      <c r="I715" s="328"/>
      <c r="J715" s="328"/>
      <c r="K715" s="328"/>
      <c r="L715" s="328"/>
      <c r="M715" s="328"/>
      <c r="N715" s="328"/>
      <c r="O715" s="328"/>
      <c r="P715" s="328"/>
      <c r="Q715" s="328"/>
      <c r="R715" s="328"/>
      <c r="S715" s="328"/>
      <c r="T715" s="328"/>
      <c r="U715" s="328"/>
      <c r="V715" s="328"/>
      <c r="W715" s="328"/>
    </row>
    <row r="716" spans="3:23">
      <c r="C716" s="37"/>
      <c r="D716" s="373" t="s">
        <v>512</v>
      </c>
      <c r="F716" s="373"/>
      <c r="G716" s="373"/>
      <c r="H716" s="373"/>
      <c r="I716" s="373"/>
      <c r="J716" s="373"/>
      <c r="K716" s="373"/>
      <c r="L716" s="373"/>
      <c r="M716" s="374" t="s">
        <v>511</v>
      </c>
      <c r="N716" s="373" t="s">
        <v>514</v>
      </c>
      <c r="O716" s="373"/>
      <c r="P716" s="373"/>
      <c r="Q716" s="373"/>
      <c r="R716" s="373"/>
      <c r="S716" s="328"/>
      <c r="T716" s="328"/>
      <c r="U716" s="328"/>
      <c r="V716" s="328"/>
      <c r="W716" s="328"/>
    </row>
    <row r="717" spans="3:23">
      <c r="C717" s="37"/>
      <c r="D717" s="328"/>
      <c r="E717" s="375"/>
      <c r="F717" s="373"/>
      <c r="G717" s="373"/>
      <c r="H717" s="376" t="s">
        <v>772</v>
      </c>
      <c r="I717" s="374" t="s">
        <v>267</v>
      </c>
      <c r="J717" s="376" t="s">
        <v>478</v>
      </c>
      <c r="K717" s="374" t="s">
        <v>63</v>
      </c>
      <c r="L717" s="374" t="s">
        <v>771</v>
      </c>
      <c r="M717" s="374" t="s">
        <v>511</v>
      </c>
      <c r="N717" s="387" t="s">
        <v>515</v>
      </c>
      <c r="O717" s="373"/>
      <c r="P717" s="373"/>
      <c r="Q717" s="373"/>
      <c r="R717" s="373"/>
      <c r="S717" s="328"/>
      <c r="T717" s="328"/>
      <c r="U717" s="328"/>
      <c r="V717" s="328"/>
      <c r="W717" s="328"/>
    </row>
    <row r="718" spans="3:23">
      <c r="C718" s="37"/>
      <c r="D718" s="328"/>
      <c r="E718" s="375"/>
      <c r="F718" s="377"/>
      <c r="G718" s="377"/>
      <c r="H718" s="378" t="s">
        <v>770</v>
      </c>
      <c r="I718" s="378"/>
      <c r="J718" s="378" t="s">
        <v>769</v>
      </c>
      <c r="K718" s="378"/>
      <c r="L718" s="378" t="s">
        <v>450</v>
      </c>
      <c r="M718" s="374" t="s">
        <v>511</v>
      </c>
      <c r="N718" s="1086">
        <f>$O$697</f>
        <v>210000</v>
      </c>
      <c r="O718" s="1087">
        <f>$S$688</f>
        <v>0.03</v>
      </c>
      <c r="P718" s="1083">
        <f>$O$695</f>
        <v>90000</v>
      </c>
      <c r="Q718" s="1088">
        <f>$S$689</f>
        <v>0.06</v>
      </c>
      <c r="R718" s="373"/>
      <c r="S718" s="328"/>
      <c r="T718" s="328"/>
      <c r="U718" s="328"/>
      <c r="V718" s="328"/>
      <c r="W718" s="328"/>
    </row>
    <row r="719" spans="3:23">
      <c r="C719" s="37"/>
      <c r="D719" s="328"/>
      <c r="E719" s="375"/>
      <c r="F719" s="373" t="s">
        <v>768</v>
      </c>
      <c r="G719" s="373"/>
      <c r="H719" s="381">
        <f>Q697</f>
        <v>0.7</v>
      </c>
      <c r="I719" s="374" t="s">
        <v>267</v>
      </c>
      <c r="J719" s="381">
        <f>$S$688</f>
        <v>0.03</v>
      </c>
      <c r="K719" s="374" t="s">
        <v>63</v>
      </c>
      <c r="L719" s="382">
        <f>H719*J719</f>
        <v>2.0999999999999998E-2</v>
      </c>
      <c r="M719" s="374" t="s">
        <v>511</v>
      </c>
      <c r="N719" s="1562">
        <f>O697</f>
        <v>210000</v>
      </c>
      <c r="O719" s="1562">
        <f>$O$697</f>
        <v>210000</v>
      </c>
      <c r="P719" s="1563">
        <f>$O$695</f>
        <v>90000</v>
      </c>
      <c r="Q719" s="1563"/>
      <c r="R719" s="373"/>
      <c r="S719" s="328"/>
      <c r="T719" s="328"/>
      <c r="U719" s="328"/>
      <c r="V719" s="328"/>
      <c r="W719" s="328"/>
    </row>
    <row r="720" spans="3:23">
      <c r="C720" s="37"/>
      <c r="D720" s="328"/>
      <c r="E720" s="375"/>
      <c r="F720" s="384" t="s">
        <v>767</v>
      </c>
      <c r="G720" s="373"/>
      <c r="H720" s="381">
        <f>Q695</f>
        <v>0.3</v>
      </c>
      <c r="I720" s="374" t="s">
        <v>267</v>
      </c>
      <c r="J720" s="381">
        <f>$S$689</f>
        <v>0.06</v>
      </c>
      <c r="K720" s="374" t="s">
        <v>63</v>
      </c>
      <c r="L720" s="382">
        <f>H720*J720</f>
        <v>1.7999999999999999E-2</v>
      </c>
      <c r="M720" s="374" t="s">
        <v>511</v>
      </c>
      <c r="N720" s="373"/>
      <c r="O720" s="373"/>
      <c r="P720" s="373"/>
      <c r="Q720" s="373"/>
      <c r="R720" s="373"/>
      <c r="S720" s="328"/>
      <c r="T720" s="328"/>
      <c r="U720" s="328"/>
      <c r="V720" s="328"/>
      <c r="W720" s="328"/>
    </row>
    <row r="721" spans="3:23">
      <c r="C721" s="37"/>
      <c r="D721" s="328"/>
      <c r="E721" s="375"/>
      <c r="F721" s="384" t="s">
        <v>766</v>
      </c>
      <c r="G721" s="373"/>
      <c r="H721" s="373"/>
      <c r="I721" s="373"/>
      <c r="J721" s="373"/>
      <c r="K721" s="385" t="s">
        <v>513</v>
      </c>
      <c r="L721" s="382">
        <f>SUM(L719:L720)</f>
        <v>3.8999999999999993E-2</v>
      </c>
      <c r="M721" s="374" t="s">
        <v>511</v>
      </c>
      <c r="N721" s="375"/>
      <c r="O721" s="368" t="s">
        <v>63</v>
      </c>
      <c r="P721" s="386">
        <f>(N718*O718+P718*Q718)/(N719+P719)</f>
        <v>3.9E-2</v>
      </c>
      <c r="Q721" s="373"/>
      <c r="R721" s="373"/>
      <c r="S721" s="328"/>
      <c r="T721" s="328"/>
      <c r="U721" s="328"/>
      <c r="V721" s="328"/>
      <c r="W721" s="328"/>
    </row>
    <row r="722" spans="3:23">
      <c r="C722" s="37"/>
      <c r="D722" s="328"/>
      <c r="E722" s="328"/>
      <c r="F722" s="328"/>
      <c r="G722" s="328"/>
      <c r="H722" s="328"/>
      <c r="I722" s="328"/>
      <c r="J722" s="328"/>
      <c r="K722" s="328"/>
      <c r="L722" s="328"/>
      <c r="M722" s="328"/>
      <c r="N722" s="328"/>
      <c r="O722" s="328"/>
      <c r="P722" s="328"/>
      <c r="Q722" s="328"/>
      <c r="R722" s="328"/>
      <c r="S722" s="328"/>
      <c r="T722" s="328"/>
      <c r="U722" s="328"/>
      <c r="V722" s="328"/>
      <c r="W722" s="328"/>
    </row>
    <row r="723" spans="3:23">
      <c r="C723" s="37"/>
      <c r="D723" s="1266" t="s">
        <v>1463</v>
      </c>
      <c r="E723" s="328"/>
      <c r="F723" s="328"/>
      <c r="G723" s="328"/>
      <c r="H723" s="328"/>
      <c r="I723" s="328"/>
      <c r="J723" s="328"/>
      <c r="K723" s="328"/>
      <c r="L723" s="328"/>
      <c r="M723" s="328"/>
      <c r="N723" s="328"/>
      <c r="O723" s="328"/>
      <c r="P723" s="328"/>
      <c r="Q723" s="328"/>
      <c r="R723" s="328"/>
      <c r="S723" s="328"/>
      <c r="T723" s="1266"/>
      <c r="U723" s="328"/>
      <c r="V723" s="328"/>
      <c r="W723" s="328"/>
    </row>
    <row r="724" spans="3:23">
      <c r="C724" s="37"/>
      <c r="D724" s="1266" t="s">
        <v>1486</v>
      </c>
      <c r="E724" s="328"/>
      <c r="F724" s="328"/>
      <c r="G724" s="328"/>
      <c r="H724" s="328"/>
      <c r="I724" s="328"/>
      <c r="J724" s="328"/>
      <c r="K724" s="328"/>
      <c r="L724" s="328"/>
      <c r="M724" s="328"/>
      <c r="N724" s="328"/>
      <c r="O724" s="328"/>
      <c r="P724" s="328"/>
      <c r="Q724" s="328"/>
      <c r="R724" s="328"/>
      <c r="S724" s="328"/>
      <c r="T724" s="328"/>
      <c r="U724" s="328"/>
      <c r="V724" s="328"/>
      <c r="W724" s="328"/>
    </row>
    <row r="725" spans="3:23" ht="14.4">
      <c r="C725" s="37"/>
      <c r="D725" s="78" t="s">
        <v>1136</v>
      </c>
      <c r="E725" s="1267" t="s">
        <v>1472</v>
      </c>
      <c r="F725" s="328"/>
      <c r="G725" s="328"/>
      <c r="H725" s="328"/>
      <c r="I725" s="328"/>
      <c r="J725" s="328"/>
      <c r="K725" s="328"/>
      <c r="M725" s="1282">
        <f>H695</f>
        <v>60000</v>
      </c>
      <c r="N725" s="1266" t="s">
        <v>1473</v>
      </c>
      <c r="O725" s="1285">
        <f>H693</f>
        <v>100000</v>
      </c>
      <c r="P725" s="1266" t="s">
        <v>1361</v>
      </c>
      <c r="Q725" s="1284">
        <f>M725/O725</f>
        <v>0.6</v>
      </c>
      <c r="R725" s="328"/>
      <c r="S725" s="328"/>
      <c r="T725" s="328"/>
      <c r="U725" s="328"/>
      <c r="V725" s="328"/>
      <c r="W725" s="328"/>
    </row>
    <row r="726" spans="3:23">
      <c r="C726" s="37"/>
      <c r="D726" s="1267" t="s">
        <v>1464</v>
      </c>
      <c r="E726" s="328"/>
      <c r="F726" s="328"/>
      <c r="G726" s="328"/>
      <c r="H726" s="328"/>
      <c r="I726" s="328"/>
      <c r="J726" s="328"/>
      <c r="K726" s="328"/>
      <c r="L726" s="328"/>
      <c r="M726" s="328"/>
      <c r="N726" s="328"/>
      <c r="O726" s="1281"/>
      <c r="P726" s="328"/>
      <c r="Q726" s="328"/>
      <c r="R726" s="328"/>
      <c r="S726" s="328"/>
      <c r="T726" s="328"/>
      <c r="U726" s="328"/>
      <c r="V726" s="328"/>
      <c r="W726" s="328"/>
    </row>
    <row r="727" spans="3:23">
      <c r="C727" s="37"/>
      <c r="D727" s="78" t="s">
        <v>1136</v>
      </c>
      <c r="E727" s="1267" t="s">
        <v>1476</v>
      </c>
      <c r="F727" s="328"/>
      <c r="G727" s="328"/>
      <c r="H727" s="328"/>
      <c r="I727" s="328"/>
      <c r="J727" s="328"/>
      <c r="K727" s="328"/>
      <c r="L727" s="328"/>
      <c r="R727" s="328"/>
      <c r="S727" s="328"/>
      <c r="T727" s="328"/>
      <c r="U727" s="328"/>
      <c r="V727" s="328"/>
      <c r="W727" s="328"/>
    </row>
    <row r="728" spans="3:23">
      <c r="C728" s="37"/>
      <c r="E728" s="1267" t="s">
        <v>1477</v>
      </c>
      <c r="F728" s="328"/>
      <c r="G728" s="328"/>
      <c r="H728" s="328"/>
      <c r="I728" s="328"/>
      <c r="J728" s="328"/>
      <c r="K728" s="328"/>
      <c r="L728" s="328"/>
      <c r="R728" s="328"/>
      <c r="S728" s="328"/>
      <c r="T728" s="328"/>
      <c r="U728" s="328"/>
      <c r="V728" s="328"/>
      <c r="W728" s="328"/>
    </row>
    <row r="729" spans="3:23">
      <c r="C729" s="37"/>
      <c r="E729" s="1267" t="s">
        <v>1485</v>
      </c>
      <c r="F729" s="328"/>
      <c r="G729" s="328"/>
      <c r="H729" s="328"/>
      <c r="I729" s="328"/>
      <c r="J729" s="328"/>
      <c r="K729" s="328"/>
      <c r="L729" s="328"/>
      <c r="R729" s="328"/>
      <c r="S729" s="328"/>
      <c r="T729" s="328"/>
      <c r="U729" s="328"/>
      <c r="V729" s="328"/>
      <c r="W729" s="328"/>
    </row>
    <row r="730" spans="3:23">
      <c r="C730" s="37"/>
      <c r="F730" s="328"/>
      <c r="G730" s="328"/>
      <c r="H730" s="1288" t="s">
        <v>1465</v>
      </c>
      <c r="I730" s="228"/>
      <c r="J730" s="228"/>
      <c r="K730" s="228"/>
      <c r="L730" s="1569" t="s">
        <v>63</v>
      </c>
      <c r="M730" s="1283">
        <f>H698</f>
        <v>2</v>
      </c>
      <c r="N730" s="1283" t="s">
        <v>1475</v>
      </c>
      <c r="O730" s="154"/>
      <c r="P730" s="1569" t="s">
        <v>63</v>
      </c>
      <c r="Q730" s="1581">
        <f>(M730+1)/(M731+1)</f>
        <v>0.5</v>
      </c>
      <c r="R730" s="328"/>
      <c r="S730" s="328"/>
      <c r="T730" s="328"/>
      <c r="U730" s="328"/>
      <c r="V730" s="328"/>
      <c r="W730" s="328"/>
    </row>
    <row r="731" spans="3:23">
      <c r="C731" s="37"/>
      <c r="D731" s="1267"/>
      <c r="E731" s="328"/>
      <c r="F731" s="328"/>
      <c r="G731" s="328"/>
      <c r="H731" s="1291" t="s">
        <v>1474</v>
      </c>
      <c r="I731" s="1292"/>
      <c r="J731" s="1292"/>
      <c r="K731" s="1293"/>
      <c r="L731" s="1570"/>
      <c r="M731" s="1050">
        <f>M692</f>
        <v>5</v>
      </c>
      <c r="N731" s="1294" t="s">
        <v>1475</v>
      </c>
      <c r="O731" s="1050"/>
      <c r="P731" s="1570"/>
      <c r="Q731" s="1581"/>
      <c r="R731" s="328"/>
      <c r="S731" s="328"/>
      <c r="T731" s="328"/>
      <c r="U731" s="328"/>
      <c r="V731" s="328"/>
      <c r="W731" s="328"/>
    </row>
    <row r="732" spans="3:23">
      <c r="C732" s="37"/>
      <c r="D732" s="1267"/>
      <c r="E732" s="328"/>
      <c r="F732" s="328"/>
      <c r="G732" s="328"/>
      <c r="H732" s="328"/>
      <c r="I732" s="328"/>
      <c r="J732" s="328"/>
      <c r="K732" s="328"/>
      <c r="L732" s="328"/>
      <c r="M732" s="1266"/>
      <c r="N732" s="328"/>
      <c r="P732" s="328"/>
      <c r="Q732" s="328"/>
      <c r="S732" s="328"/>
      <c r="T732" s="328"/>
      <c r="U732" s="328"/>
      <c r="V732" s="328"/>
      <c r="W732" s="328"/>
    </row>
    <row r="733" spans="3:23">
      <c r="C733" s="37"/>
      <c r="D733" s="1266" t="s">
        <v>1478</v>
      </c>
      <c r="E733" s="328"/>
      <c r="F733" s="328"/>
      <c r="G733" s="328"/>
      <c r="H733" s="328"/>
      <c r="I733" s="328"/>
      <c r="J733" s="328"/>
      <c r="K733" s="328"/>
      <c r="L733" s="328"/>
      <c r="M733" s="1266"/>
      <c r="N733" s="328"/>
      <c r="P733" s="328"/>
      <c r="Q733" s="328"/>
      <c r="S733" s="328"/>
      <c r="T733" s="328"/>
      <c r="U733" s="328"/>
      <c r="V733" s="328"/>
      <c r="W733" s="328"/>
    </row>
    <row r="734" spans="3:23">
      <c r="C734" s="37"/>
      <c r="D734" s="1267" t="s">
        <v>1479</v>
      </c>
      <c r="E734" s="328"/>
      <c r="F734" s="328"/>
      <c r="G734" s="328"/>
      <c r="H734" s="328"/>
      <c r="I734" s="328"/>
      <c r="J734" s="328"/>
      <c r="K734" s="328"/>
      <c r="L734" s="328"/>
      <c r="M734" s="1266"/>
      <c r="N734" s="328"/>
      <c r="P734" s="328"/>
      <c r="Q734" s="328"/>
      <c r="S734" s="328"/>
      <c r="T734" s="328"/>
      <c r="U734" s="328"/>
      <c r="V734" s="328"/>
      <c r="W734" s="328"/>
    </row>
    <row r="735" spans="3:23" ht="15.6">
      <c r="C735" s="37"/>
      <c r="D735" s="1267"/>
      <c r="E735" s="1266" t="s">
        <v>1480</v>
      </c>
      <c r="F735" s="328"/>
      <c r="G735" s="328"/>
      <c r="H735" s="328"/>
      <c r="I735" s="328"/>
      <c r="J735" s="328"/>
      <c r="K735" s="328"/>
      <c r="L735" s="328"/>
      <c r="M735" s="1266"/>
      <c r="N735" s="328"/>
      <c r="P735" s="328"/>
      <c r="Q735" s="328"/>
      <c r="S735" s="328"/>
      <c r="T735" s="328"/>
      <c r="U735" s="328"/>
      <c r="V735" s="328"/>
      <c r="W735" s="328"/>
    </row>
    <row r="736" spans="3:23" ht="14.4">
      <c r="C736" s="37"/>
      <c r="D736" s="328"/>
      <c r="E736" s="1266"/>
      <c r="F736" s="328"/>
      <c r="G736" s="328"/>
      <c r="H736" s="328"/>
      <c r="I736" s="328"/>
      <c r="J736" s="1270" t="s">
        <v>63</v>
      </c>
      <c r="L736" s="1281">
        <f>Q725</f>
        <v>0.6</v>
      </c>
      <c r="N736" s="1289" t="s">
        <v>267</v>
      </c>
      <c r="O736" s="1281">
        <f>Q730</f>
        <v>0.5</v>
      </c>
      <c r="R736" s="328"/>
      <c r="S736" s="328"/>
      <c r="T736" s="328"/>
      <c r="U736" s="328"/>
      <c r="V736" s="328"/>
      <c r="W736" s="328"/>
    </row>
    <row r="737" spans="2:27">
      <c r="C737" s="37"/>
      <c r="D737" s="328"/>
      <c r="E737" s="328"/>
      <c r="F737" s="328"/>
      <c r="G737" s="328"/>
      <c r="H737" s="328"/>
      <c r="I737" s="328"/>
      <c r="J737" s="1270" t="s">
        <v>63</v>
      </c>
      <c r="L737" s="1281">
        <f>L736*O736</f>
        <v>0.3</v>
      </c>
      <c r="O737" s="328"/>
      <c r="P737" s="328"/>
      <c r="Q737" s="328"/>
      <c r="R737" s="328"/>
      <c r="S737" s="328"/>
      <c r="T737" s="328"/>
      <c r="U737" s="328"/>
      <c r="V737" s="328"/>
      <c r="W737" s="328"/>
    </row>
    <row r="738" spans="2:27">
      <c r="C738" s="37"/>
      <c r="D738" s="328"/>
      <c r="E738" s="328"/>
      <c r="F738" s="328"/>
      <c r="G738" s="328"/>
      <c r="H738" s="328"/>
      <c r="I738" s="328"/>
      <c r="J738" s="1270"/>
      <c r="L738" s="1281"/>
      <c r="O738" s="328"/>
      <c r="P738" s="328"/>
      <c r="Q738" s="328"/>
      <c r="R738" s="328"/>
      <c r="S738" s="328"/>
      <c r="T738" s="328"/>
      <c r="U738" s="328"/>
      <c r="V738" s="328"/>
      <c r="W738" s="328"/>
    </row>
    <row r="739" spans="2:27">
      <c r="C739" s="37"/>
      <c r="D739" s="1267" t="s">
        <v>1499</v>
      </c>
      <c r="E739" s="328"/>
      <c r="F739" s="328"/>
      <c r="G739" s="328"/>
      <c r="H739" s="328"/>
      <c r="I739" s="328"/>
      <c r="J739" s="328"/>
      <c r="K739" s="328"/>
      <c r="L739" s="328"/>
      <c r="M739" s="328"/>
      <c r="N739" s="328"/>
      <c r="O739" s="328"/>
      <c r="P739" s="328"/>
      <c r="Q739" s="328"/>
      <c r="R739" s="328"/>
      <c r="S739" s="328"/>
      <c r="T739" s="328"/>
      <c r="U739" s="328"/>
      <c r="V739" s="328"/>
      <c r="W739" s="328"/>
    </row>
    <row r="740" spans="2:27">
      <c r="C740" s="356" t="s">
        <v>1440</v>
      </c>
      <c r="E740" s="328"/>
      <c r="F740" s="356" t="s">
        <v>1441</v>
      </c>
      <c r="H740" s="331"/>
      <c r="I740" s="328"/>
      <c r="J740" s="328"/>
      <c r="K740" s="328"/>
      <c r="L740" s="328"/>
      <c r="M740" s="328"/>
      <c r="N740" s="328"/>
      <c r="O740" s="328"/>
      <c r="P740" s="328"/>
      <c r="Q740" s="328"/>
      <c r="R740" s="328"/>
      <c r="S740" s="328"/>
      <c r="T740" s="328"/>
      <c r="U740" s="328"/>
      <c r="V740" s="328"/>
      <c r="W740" s="328"/>
    </row>
    <row r="741" spans="2:27">
      <c r="C741" s="328"/>
      <c r="D741" s="328"/>
      <c r="E741" s="328"/>
      <c r="F741" s="328" t="s">
        <v>784</v>
      </c>
      <c r="I741" s="328"/>
      <c r="J741" s="328"/>
      <c r="K741" s="328"/>
      <c r="L741" s="328"/>
      <c r="M741" s="328"/>
      <c r="N741" s="328"/>
      <c r="O741" s="328"/>
      <c r="P741" s="328"/>
      <c r="Q741" s="328"/>
      <c r="R741" s="328"/>
      <c r="S741" s="328"/>
      <c r="T741" s="328"/>
      <c r="U741" s="328"/>
      <c r="V741" s="328"/>
      <c r="W741" s="328"/>
    </row>
    <row r="742" spans="2:27" ht="18.600000000000001">
      <c r="B742" s="182"/>
      <c r="C742" s="84"/>
      <c r="D742" s="1267" t="s">
        <v>1481</v>
      </c>
      <c r="F742" s="328"/>
      <c r="G742" s="328"/>
      <c r="H742" s="328"/>
      <c r="I742" s="328"/>
      <c r="J742" s="328"/>
      <c r="K742" s="328"/>
      <c r="L742" s="328"/>
      <c r="M742" s="328"/>
      <c r="N742" s="328"/>
      <c r="O742" s="328"/>
      <c r="P742" s="328"/>
      <c r="Q742" s="328"/>
      <c r="R742" s="328"/>
      <c r="S742" s="332">
        <f>S637</f>
        <v>0.03</v>
      </c>
      <c r="T742" s="328" t="s">
        <v>781</v>
      </c>
      <c r="U742" s="328"/>
      <c r="V742" s="328"/>
      <c r="W742" s="328"/>
      <c r="X742" s="328"/>
      <c r="Z742" s="328"/>
      <c r="AA742" s="328"/>
    </row>
    <row r="743" spans="2:27">
      <c r="C743" s="84"/>
      <c r="D743" s="1267" t="s">
        <v>1483</v>
      </c>
      <c r="F743" s="328"/>
      <c r="G743" s="328"/>
      <c r="H743" s="328"/>
      <c r="I743" s="328"/>
      <c r="J743" s="328"/>
      <c r="K743" s="328"/>
      <c r="L743" s="328"/>
      <c r="M743" s="328"/>
      <c r="N743" s="328"/>
      <c r="O743" s="328"/>
      <c r="P743" s="328"/>
      <c r="Q743" s="328"/>
      <c r="R743" s="328"/>
      <c r="S743" s="332">
        <f>S638</f>
        <v>0.06</v>
      </c>
      <c r="T743" s="328" t="s">
        <v>780</v>
      </c>
      <c r="U743" s="328"/>
      <c r="V743" s="328"/>
      <c r="W743" s="328"/>
      <c r="X743" s="328"/>
      <c r="Z743" s="328"/>
      <c r="AA743" s="328"/>
    </row>
    <row r="744" spans="2:27">
      <c r="C744" s="84"/>
      <c r="D744" s="1267" t="s">
        <v>1482</v>
      </c>
      <c r="F744" s="328"/>
      <c r="G744" s="328"/>
      <c r="H744" s="328"/>
      <c r="I744" s="328"/>
      <c r="J744" s="328"/>
      <c r="K744" s="328"/>
      <c r="L744" s="328"/>
      <c r="M744" s="328"/>
      <c r="N744" s="328"/>
      <c r="O744" s="328"/>
      <c r="P744" s="328"/>
      <c r="Q744" s="328"/>
      <c r="R744" s="328"/>
      <c r="S744" s="328"/>
      <c r="T744" s="328"/>
      <c r="U744" s="328"/>
      <c r="V744" s="328"/>
      <c r="W744" s="328"/>
    </row>
    <row r="745" spans="2:27">
      <c r="C745" s="84"/>
      <c r="D745" s="328"/>
      <c r="E745" s="328"/>
      <c r="F745" s="328"/>
      <c r="G745" s="328"/>
      <c r="H745" s="328"/>
      <c r="I745" s="328"/>
      <c r="J745" s="328"/>
      <c r="K745" s="328"/>
      <c r="L745" s="328"/>
      <c r="M745" s="328"/>
      <c r="O745" s="1271" t="s">
        <v>1452</v>
      </c>
      <c r="P745" s="357"/>
      <c r="Q745" s="328"/>
      <c r="R745" s="328"/>
      <c r="S745" s="328"/>
      <c r="T745" s="328"/>
      <c r="U745" s="328"/>
      <c r="V745" s="328"/>
      <c r="W745" s="328"/>
    </row>
    <row r="746" spans="2:27" ht="15.6">
      <c r="C746" s="84"/>
      <c r="D746" s="333"/>
      <c r="E746" s="330"/>
      <c r="F746" s="330"/>
      <c r="G746" s="1073" t="s">
        <v>272</v>
      </c>
      <c r="H746" s="1274">
        <v>0</v>
      </c>
      <c r="I746" s="1275">
        <f>H746+1</f>
        <v>1</v>
      </c>
      <c r="J746" s="1275">
        <f>I746+1</f>
        <v>2</v>
      </c>
      <c r="K746" s="1275">
        <f>J746+1</f>
        <v>3</v>
      </c>
      <c r="L746" s="1275">
        <f>K746+1</f>
        <v>4</v>
      </c>
      <c r="M746" s="1276">
        <f>L746+1</f>
        <v>5</v>
      </c>
      <c r="N746" s="1272" t="s">
        <v>1460</v>
      </c>
      <c r="O746" s="1277" t="s">
        <v>778</v>
      </c>
      <c r="P746" s="1278" t="s">
        <v>777</v>
      </c>
      <c r="Q746" s="1276" t="s">
        <v>1163</v>
      </c>
      <c r="S746" s="328"/>
      <c r="T746" s="328"/>
      <c r="U746" s="328"/>
      <c r="V746" s="328"/>
      <c r="W746" s="328"/>
    </row>
    <row r="747" spans="2:27" ht="14.4">
      <c r="C747" s="84"/>
      <c r="D747" s="334" t="s">
        <v>776</v>
      </c>
      <c r="E747" s="335"/>
      <c r="F747" s="335"/>
      <c r="G747" s="1080" t="s">
        <v>27</v>
      </c>
      <c r="H747" s="1287">
        <f>$H$642</f>
        <v>100000</v>
      </c>
      <c r="I747" s="336">
        <f>IF(H747&lt;0.01,0,H747-I748)</f>
        <v>84000</v>
      </c>
      <c r="J747" s="336">
        <f>IF(I747&lt;0.01,0,I747-J748)</f>
        <v>68000</v>
      </c>
      <c r="K747" s="336">
        <f>IF(J747&lt;0.01,0,J747-K748)</f>
        <v>52000</v>
      </c>
      <c r="L747" s="336">
        <f>IF(K747&lt;0.01,0,K747-L748)</f>
        <v>36000</v>
      </c>
      <c r="M747" s="337">
        <f>IF(L747&lt;0.01,0,L747-M748)</f>
        <v>20000</v>
      </c>
      <c r="N747" s="338" t="s">
        <v>773</v>
      </c>
      <c r="O747" s="1074">
        <f>SUM(H747:M747)</f>
        <v>360000</v>
      </c>
      <c r="P747" s="1075">
        <f>AVERAGE(H747:M747)</f>
        <v>60000</v>
      </c>
      <c r="Q747" s="1076">
        <f>P747/$P$747</f>
        <v>1</v>
      </c>
      <c r="S747" s="328"/>
      <c r="T747" s="328"/>
      <c r="U747" s="328"/>
      <c r="V747" s="328"/>
      <c r="W747" s="328"/>
    </row>
    <row r="748" spans="2:27">
      <c r="C748" s="84"/>
      <c r="D748" s="339" t="s">
        <v>95</v>
      </c>
      <c r="E748" s="340"/>
      <c r="F748" s="340"/>
      <c r="G748" s="1081" t="s">
        <v>354</v>
      </c>
      <c r="H748" s="341"/>
      <c r="I748" s="342">
        <f t="shared" ref="I748" si="2">IF(H747&lt;0.01,0,$H$747*$T$748)</f>
        <v>16000</v>
      </c>
      <c r="J748" s="342">
        <f>IF(I747&lt;0.01,0,$H$747*$T$748)</f>
        <v>16000</v>
      </c>
      <c r="K748" s="342">
        <f t="shared" ref="K748:M748" si="3">IF(J747&lt;0.01,0,$H$747*$T$748)</f>
        <v>16000</v>
      </c>
      <c r="L748" s="342">
        <f t="shared" si="3"/>
        <v>16000</v>
      </c>
      <c r="M748" s="343">
        <f t="shared" si="3"/>
        <v>16000</v>
      </c>
      <c r="N748" s="338" t="s">
        <v>773</v>
      </c>
      <c r="O748" s="344">
        <f>SUM(H748:M748)</f>
        <v>80000</v>
      </c>
      <c r="P748" s="345"/>
      <c r="Q748" s="343"/>
      <c r="S748" s="328"/>
      <c r="T748" s="346">
        <v>0.16</v>
      </c>
      <c r="U748" s="328"/>
      <c r="V748" s="328"/>
      <c r="W748" s="328"/>
    </row>
    <row r="749" spans="2:27">
      <c r="C749" s="84"/>
      <c r="D749" s="347" t="s">
        <v>775</v>
      </c>
      <c r="E749" s="335"/>
      <c r="F749" s="335"/>
      <c r="G749" s="1080" t="s">
        <v>27</v>
      </c>
      <c r="H749" s="348">
        <f>$H$644</f>
        <v>60000</v>
      </c>
      <c r="I749" s="336">
        <f>IF(H749&lt;0.01,0,H749-I750)</f>
        <v>30000</v>
      </c>
      <c r="J749" s="336">
        <f>IF(I749&lt;0.01,0,I749-J750)</f>
        <v>0</v>
      </c>
      <c r="K749" s="336">
        <f>IF(J749&lt;0.01,0,J749-K750)</f>
        <v>0</v>
      </c>
      <c r="L749" s="336">
        <f>IF(K749&lt;0.01,0,K749-L750)</f>
        <v>0</v>
      </c>
      <c r="M749" s="337">
        <f>IF(L749&lt;0.01,0,L749-M750)</f>
        <v>0</v>
      </c>
      <c r="N749" s="338" t="s">
        <v>773</v>
      </c>
      <c r="O749" s="1074">
        <f>SUM(H749:M749)</f>
        <v>90000</v>
      </c>
      <c r="P749" s="1075">
        <f>AVERAGE(H749:M749)</f>
        <v>15000</v>
      </c>
      <c r="Q749" s="1263">
        <f>P749/$P$747</f>
        <v>0.25</v>
      </c>
      <c r="S749" s="328"/>
      <c r="T749" s="328"/>
      <c r="U749" s="328"/>
      <c r="V749" s="328"/>
      <c r="W749" s="328"/>
    </row>
    <row r="750" spans="2:27">
      <c r="C750" s="84"/>
      <c r="D750" s="339" t="s">
        <v>774</v>
      </c>
      <c r="E750" s="340"/>
      <c r="F750" s="340"/>
      <c r="G750" s="1081" t="s">
        <v>354</v>
      </c>
      <c r="H750" s="341"/>
      <c r="I750" s="342">
        <f>IF($H$752&lt;I746,0,$H$749/$H$752)</f>
        <v>30000</v>
      </c>
      <c r="J750" s="342">
        <f t="shared" ref="J750:M750" si="4">IF($H$752&lt;J746,0,$H$749/$H$752)</f>
        <v>30000</v>
      </c>
      <c r="K750" s="342">
        <f t="shared" si="4"/>
        <v>0</v>
      </c>
      <c r="L750" s="342">
        <f t="shared" si="4"/>
        <v>0</v>
      </c>
      <c r="M750" s="343">
        <f t="shared" si="4"/>
        <v>0</v>
      </c>
      <c r="N750" s="338" t="s">
        <v>773</v>
      </c>
      <c r="O750" s="344">
        <f>SUM(H750:M750)</f>
        <v>60000</v>
      </c>
      <c r="P750" s="345"/>
      <c r="Q750" s="1264"/>
      <c r="S750" s="328"/>
      <c r="T750" s="328"/>
      <c r="U750" s="328"/>
      <c r="V750" s="328"/>
      <c r="W750" s="328"/>
    </row>
    <row r="751" spans="2:27">
      <c r="C751" s="84"/>
      <c r="D751" s="349" t="s">
        <v>768</v>
      </c>
      <c r="E751" s="350"/>
      <c r="F751" s="350"/>
      <c r="G751" s="1082" t="s">
        <v>27</v>
      </c>
      <c r="H751" s="351">
        <f t="shared" ref="H751:M751" si="5">H747-H749</f>
        <v>40000</v>
      </c>
      <c r="I751" s="352">
        <f t="shared" si="5"/>
        <v>54000</v>
      </c>
      <c r="J751" s="352">
        <f t="shared" si="5"/>
        <v>68000</v>
      </c>
      <c r="K751" s="352">
        <f t="shared" si="5"/>
        <v>52000</v>
      </c>
      <c r="L751" s="352">
        <f t="shared" si="5"/>
        <v>36000</v>
      </c>
      <c r="M751" s="353">
        <f t="shared" si="5"/>
        <v>20000</v>
      </c>
      <c r="N751" s="338" t="s">
        <v>773</v>
      </c>
      <c r="O751" s="1077">
        <f>SUM(H751:M751)</f>
        <v>270000</v>
      </c>
      <c r="P751" s="1078">
        <f>AVERAGE(H751:M751)</f>
        <v>45000</v>
      </c>
      <c r="Q751" s="1265">
        <f>P751/$P$747</f>
        <v>0.75</v>
      </c>
      <c r="S751" s="328"/>
      <c r="T751" s="328"/>
      <c r="U751" s="328"/>
      <c r="V751" s="328"/>
      <c r="W751" s="328"/>
    </row>
    <row r="752" spans="2:27">
      <c r="C752" s="84"/>
      <c r="D752" s="328"/>
      <c r="E752" s="370" t="s">
        <v>779</v>
      </c>
      <c r="F752" s="370"/>
      <c r="G752" s="370"/>
      <c r="H752" s="388">
        <v>2</v>
      </c>
      <c r="I752" s="370" t="s">
        <v>65</v>
      </c>
      <c r="K752" s="354"/>
      <c r="L752" s="354"/>
      <c r="M752" s="354"/>
      <c r="N752" s="354"/>
      <c r="O752" s="328"/>
      <c r="P752" s="328"/>
      <c r="Q752" s="328"/>
      <c r="R752" s="328"/>
      <c r="S752" s="328"/>
      <c r="T752" s="328"/>
      <c r="U752" s="328"/>
      <c r="V752" s="328"/>
      <c r="W752" s="328"/>
    </row>
    <row r="753" spans="2:23">
      <c r="B753" s="354"/>
      <c r="C753" s="354"/>
      <c r="D753" s="354"/>
      <c r="E753" s="354"/>
      <c r="F753" s="354"/>
      <c r="G753" s="354"/>
      <c r="H753" s="354"/>
      <c r="I753" s="354"/>
      <c r="J753" s="354"/>
      <c r="K753" s="354"/>
      <c r="L753" s="354"/>
      <c r="M753" s="354"/>
      <c r="N753" s="354"/>
      <c r="O753" s="328"/>
      <c r="P753" s="328"/>
      <c r="Q753" s="328"/>
      <c r="R753" s="328"/>
      <c r="S753" s="328"/>
      <c r="T753" s="328"/>
      <c r="U753" s="328"/>
      <c r="V753" s="328"/>
      <c r="W753" s="328"/>
    </row>
    <row r="754" spans="2:23">
      <c r="C754" s="84"/>
      <c r="D754" s="328"/>
      <c r="E754" s="328"/>
      <c r="F754" s="328"/>
      <c r="G754" s="328"/>
      <c r="H754" s="328"/>
      <c r="I754" s="328"/>
      <c r="J754" s="328"/>
      <c r="K754" s="328"/>
      <c r="U754" s="328"/>
      <c r="V754" s="328"/>
      <c r="W754" s="328"/>
    </row>
    <row r="755" spans="2:23" ht="15.6">
      <c r="C755" s="84"/>
      <c r="D755" s="328"/>
      <c r="E755" s="328"/>
      <c r="F755" s="328"/>
      <c r="G755" s="328"/>
      <c r="H755" s="328"/>
      <c r="I755" s="328"/>
      <c r="J755" s="328"/>
      <c r="K755" s="328"/>
      <c r="L755" s="354"/>
      <c r="M755" s="328"/>
      <c r="N755" s="369" t="s">
        <v>1225</v>
      </c>
      <c r="O755" s="357"/>
      <c r="P755" s="357"/>
      <c r="Q755" s="357"/>
      <c r="S755" s="328"/>
      <c r="T755" s="328"/>
      <c r="U755" s="328"/>
      <c r="V755" s="328"/>
      <c r="W755" s="328"/>
    </row>
    <row r="756" spans="2:23">
      <c r="C756" s="84"/>
      <c r="D756" s="328"/>
      <c r="E756" s="328"/>
      <c r="F756" s="328"/>
      <c r="G756" s="328"/>
      <c r="H756" s="328"/>
      <c r="I756" s="328"/>
      <c r="J756" s="328"/>
      <c r="K756" s="328"/>
      <c r="M756" s="145" t="s">
        <v>504</v>
      </c>
      <c r="N756" s="1089" t="s">
        <v>387</v>
      </c>
      <c r="O756" s="357"/>
      <c r="P756" s="357"/>
      <c r="Q756" s="357"/>
      <c r="S756" s="328"/>
      <c r="T756" s="328"/>
      <c r="U756" s="328"/>
      <c r="V756" s="328"/>
      <c r="W756" s="328"/>
    </row>
    <row r="757" spans="2:23" ht="15.6">
      <c r="C757" s="84"/>
      <c r="D757" s="328"/>
      <c r="E757" s="328"/>
      <c r="F757" s="328"/>
      <c r="G757" s="328"/>
      <c r="H757" s="328"/>
      <c r="I757" s="328"/>
      <c r="J757" s="328"/>
      <c r="K757" s="328"/>
      <c r="L757" s="328"/>
      <c r="M757" s="328"/>
      <c r="N757" s="369" t="s">
        <v>1224</v>
      </c>
      <c r="O757" s="357"/>
      <c r="P757" s="357"/>
      <c r="Q757" s="357"/>
      <c r="S757" s="328"/>
      <c r="T757" s="328"/>
      <c r="U757" s="328"/>
      <c r="V757" s="328"/>
      <c r="W757" s="328"/>
    </row>
    <row r="758" spans="2:23">
      <c r="C758" s="84"/>
      <c r="D758" s="328"/>
      <c r="E758" s="328"/>
      <c r="F758" s="328"/>
      <c r="G758" s="328"/>
      <c r="H758" s="328"/>
      <c r="I758" s="328"/>
      <c r="J758" s="328"/>
      <c r="K758" s="328"/>
      <c r="L758" s="354"/>
      <c r="S758" s="328"/>
      <c r="T758" s="328"/>
      <c r="U758" s="328"/>
      <c r="V758" s="328"/>
      <c r="W758" s="328"/>
    </row>
    <row r="759" spans="2:23" ht="15">
      <c r="C759" s="84"/>
      <c r="D759" s="328"/>
      <c r="E759" s="328"/>
      <c r="F759" s="328"/>
      <c r="G759" s="328"/>
      <c r="H759" s="328"/>
      <c r="I759" s="328"/>
      <c r="J759" s="328"/>
      <c r="K759" s="328"/>
      <c r="L759" s="354"/>
      <c r="M759" s="389" t="s">
        <v>516</v>
      </c>
      <c r="N759" s="367" t="s">
        <v>505</v>
      </c>
      <c r="S759" s="328"/>
      <c r="T759" s="328"/>
      <c r="U759" s="328"/>
      <c r="V759" s="328"/>
      <c r="W759" s="328"/>
    </row>
    <row r="760" spans="2:23" ht="15">
      <c r="C760" s="84"/>
      <c r="D760" s="328"/>
      <c r="E760" s="328"/>
      <c r="F760" s="328"/>
      <c r="G760" s="328"/>
      <c r="H760" s="328"/>
      <c r="I760" s="328"/>
      <c r="J760" s="328"/>
      <c r="K760" s="328"/>
      <c r="L760" s="354"/>
      <c r="M760" s="389" t="s">
        <v>517</v>
      </c>
      <c r="N760" s="367" t="s">
        <v>506</v>
      </c>
      <c r="S760" s="328"/>
      <c r="T760" s="328"/>
      <c r="U760" s="328"/>
      <c r="V760" s="328"/>
      <c r="W760" s="328"/>
    </row>
    <row r="761" spans="2:23" ht="15">
      <c r="C761" s="37"/>
      <c r="D761" s="328"/>
      <c r="E761" s="328"/>
      <c r="F761" s="328"/>
      <c r="G761" s="328"/>
      <c r="H761" s="328"/>
      <c r="I761" s="328"/>
      <c r="J761" s="328"/>
      <c r="K761" s="328"/>
      <c r="L761" s="354"/>
      <c r="M761" s="368" t="s">
        <v>805</v>
      </c>
      <c r="N761" s="367" t="s">
        <v>501</v>
      </c>
      <c r="P761" s="328"/>
      <c r="Q761" s="328"/>
      <c r="R761" s="328"/>
      <c r="S761" s="328"/>
      <c r="T761" s="328"/>
      <c r="U761" s="328"/>
      <c r="V761" s="328"/>
      <c r="W761" s="328"/>
    </row>
    <row r="762" spans="2:23" ht="15">
      <c r="C762" s="37"/>
      <c r="D762" s="328"/>
      <c r="E762" s="328"/>
      <c r="F762" s="328"/>
      <c r="G762" s="328"/>
      <c r="H762" s="328"/>
      <c r="I762" s="328"/>
      <c r="J762" s="328"/>
      <c r="K762" s="328"/>
      <c r="L762" s="354"/>
      <c r="M762" s="368" t="s">
        <v>806</v>
      </c>
      <c r="N762" s="367" t="s">
        <v>502</v>
      </c>
      <c r="P762" s="328"/>
      <c r="Q762" s="328"/>
      <c r="R762" s="328"/>
      <c r="S762" s="328"/>
      <c r="T762" s="328"/>
      <c r="U762" s="328"/>
      <c r="V762" s="328"/>
      <c r="W762" s="328"/>
    </row>
    <row r="763" spans="2:23">
      <c r="C763" s="37"/>
      <c r="D763" s="328"/>
      <c r="E763" s="328"/>
      <c r="F763" s="328"/>
      <c r="G763" s="328"/>
      <c r="H763" s="328"/>
      <c r="I763" s="328"/>
      <c r="J763" s="328"/>
      <c r="K763" s="328"/>
      <c r="L763" s="328"/>
      <c r="M763" s="328"/>
      <c r="N763" s="328"/>
      <c r="O763" s="328"/>
      <c r="P763" s="328"/>
      <c r="Q763" s="328"/>
      <c r="R763" s="328"/>
      <c r="S763" s="328"/>
      <c r="T763" s="328"/>
      <c r="U763" s="328"/>
      <c r="V763" s="328"/>
      <c r="W763" s="328"/>
    </row>
    <row r="764" spans="2:23">
      <c r="C764" s="37"/>
      <c r="D764" s="328"/>
      <c r="E764" s="328"/>
      <c r="F764" s="328"/>
      <c r="G764" s="328"/>
      <c r="H764" s="328"/>
      <c r="I764" s="328"/>
      <c r="J764" s="328"/>
      <c r="K764" s="328"/>
      <c r="L764" s="328"/>
      <c r="M764" s="328"/>
      <c r="N764" s="328"/>
      <c r="O764" s="328"/>
      <c r="P764" s="328"/>
      <c r="Q764" s="328"/>
      <c r="R764" s="328"/>
      <c r="S764" s="328"/>
      <c r="T764" s="328"/>
      <c r="U764" s="328"/>
      <c r="V764" s="328"/>
      <c r="W764" s="328"/>
    </row>
    <row r="765" spans="2:23">
      <c r="C765" s="37"/>
      <c r="D765" s="1267" t="s">
        <v>1484</v>
      </c>
      <c r="F765" s="328"/>
      <c r="G765" s="328"/>
      <c r="H765" s="328"/>
      <c r="I765" s="328"/>
      <c r="J765" s="328"/>
      <c r="K765" s="328"/>
      <c r="L765" s="328"/>
      <c r="M765" s="328"/>
      <c r="N765" s="328"/>
      <c r="O765" s="328"/>
      <c r="P765" s="328"/>
      <c r="Q765" s="328"/>
      <c r="R765" s="328"/>
      <c r="S765" s="328"/>
      <c r="T765" s="328"/>
      <c r="U765" s="328"/>
      <c r="V765" s="328"/>
      <c r="W765" s="328"/>
    </row>
    <row r="766" spans="2:23">
      <c r="C766" s="37"/>
      <c r="D766" s="371" t="s">
        <v>508</v>
      </c>
      <c r="F766" s="328"/>
      <c r="G766" s="328"/>
      <c r="H766" s="328"/>
      <c r="I766" s="328"/>
      <c r="J766" s="328"/>
      <c r="K766" s="328"/>
      <c r="L766" s="328"/>
      <c r="M766" s="328"/>
      <c r="N766" s="328"/>
      <c r="O766" s="328"/>
      <c r="P766" s="328"/>
      <c r="Q766" s="328"/>
      <c r="R766" s="328"/>
      <c r="S766" s="328"/>
      <c r="T766" s="328"/>
      <c r="U766" s="328"/>
      <c r="V766" s="328"/>
      <c r="W766" s="328"/>
    </row>
    <row r="767" spans="2:23">
      <c r="C767" s="37"/>
      <c r="D767" s="371" t="s">
        <v>509</v>
      </c>
      <c r="F767" s="328"/>
      <c r="G767" s="328"/>
      <c r="H767" s="328"/>
      <c r="I767" s="328"/>
      <c r="J767" s="328"/>
      <c r="K767" s="328"/>
      <c r="L767" s="328"/>
      <c r="M767" s="328"/>
      <c r="N767" s="328"/>
      <c r="O767" s="328"/>
      <c r="P767" s="328"/>
      <c r="Q767" s="328"/>
      <c r="R767" s="328"/>
      <c r="S767" s="328"/>
      <c r="T767" s="328"/>
      <c r="U767" s="328"/>
      <c r="V767" s="328"/>
      <c r="W767" s="328"/>
    </row>
    <row r="768" spans="2:23">
      <c r="C768" s="37"/>
      <c r="D768" s="372" t="s">
        <v>510</v>
      </c>
      <c r="F768" s="328"/>
      <c r="G768" s="328"/>
      <c r="H768" s="328"/>
      <c r="I768" s="328"/>
      <c r="J768" s="328"/>
      <c r="K768" s="328"/>
      <c r="L768" s="328"/>
      <c r="M768" s="328"/>
      <c r="N768" s="328"/>
      <c r="O768" s="328"/>
      <c r="P768" s="328"/>
      <c r="Q768" s="328"/>
      <c r="R768" s="328"/>
      <c r="S768" s="328"/>
      <c r="T768" s="328"/>
      <c r="U768" s="328"/>
      <c r="V768" s="328"/>
      <c r="W768" s="328"/>
    </row>
    <row r="769" spans="2:23">
      <c r="C769" s="37"/>
      <c r="D769" s="372"/>
      <c r="F769" s="328"/>
      <c r="G769" s="328"/>
      <c r="H769" s="328"/>
      <c r="I769" s="328"/>
      <c r="J769" s="328"/>
      <c r="K769" s="328"/>
      <c r="L769" s="328"/>
      <c r="M769" s="328"/>
      <c r="N769" s="328"/>
      <c r="O769" s="328"/>
      <c r="P769" s="328"/>
      <c r="Q769" s="328"/>
      <c r="R769" s="328"/>
      <c r="S769" s="328"/>
      <c r="T769" s="328"/>
      <c r="U769" s="328"/>
      <c r="V769" s="328"/>
      <c r="W769" s="328"/>
    </row>
    <row r="770" spans="2:23">
      <c r="C770" s="37"/>
      <c r="D770" s="373" t="s">
        <v>512</v>
      </c>
      <c r="F770" s="373"/>
      <c r="G770" s="373"/>
      <c r="H770" s="373"/>
      <c r="I770" s="373"/>
      <c r="J770" s="373"/>
      <c r="K770" s="373"/>
      <c r="L770" s="373"/>
      <c r="M770" s="374" t="s">
        <v>511</v>
      </c>
      <c r="N770" s="373" t="s">
        <v>514</v>
      </c>
      <c r="O770" s="373"/>
      <c r="P770" s="373"/>
      <c r="Q770" s="373"/>
      <c r="R770" s="373"/>
      <c r="S770" s="328"/>
      <c r="T770" s="328"/>
      <c r="U770" s="328"/>
      <c r="V770" s="328"/>
      <c r="W770" s="328"/>
    </row>
    <row r="771" spans="2:23">
      <c r="C771" s="37"/>
      <c r="D771" s="328"/>
      <c r="E771" s="375"/>
      <c r="F771" s="373"/>
      <c r="G771" s="373"/>
      <c r="H771" s="376" t="s">
        <v>772</v>
      </c>
      <c r="I771" s="374" t="s">
        <v>267</v>
      </c>
      <c r="J771" s="376" t="s">
        <v>478</v>
      </c>
      <c r="K771" s="374" t="s">
        <v>63</v>
      </c>
      <c r="L771" s="374" t="s">
        <v>771</v>
      </c>
      <c r="M771" s="374" t="s">
        <v>511</v>
      </c>
      <c r="N771" s="387" t="s">
        <v>515</v>
      </c>
      <c r="O771" s="373"/>
      <c r="P771" s="373"/>
      <c r="Q771" s="373"/>
      <c r="R771" s="373"/>
      <c r="S771" s="328"/>
      <c r="T771" s="328"/>
      <c r="U771" s="328"/>
      <c r="V771" s="328"/>
      <c r="W771" s="328"/>
    </row>
    <row r="772" spans="2:23">
      <c r="C772" s="37"/>
      <c r="D772" s="328"/>
      <c r="E772" s="375"/>
      <c r="F772" s="377"/>
      <c r="G772" s="377"/>
      <c r="H772" s="378" t="s">
        <v>770</v>
      </c>
      <c r="I772" s="378"/>
      <c r="J772" s="378" t="s">
        <v>769</v>
      </c>
      <c r="K772" s="378"/>
      <c r="L772" s="378" t="s">
        <v>450</v>
      </c>
      <c r="M772" s="374" t="s">
        <v>511</v>
      </c>
      <c r="N772" s="1086">
        <f>O751</f>
        <v>270000</v>
      </c>
      <c r="O772" s="1087">
        <f>S742</f>
        <v>0.03</v>
      </c>
      <c r="P772" s="1290">
        <f>O749</f>
        <v>90000</v>
      </c>
      <c r="Q772" s="1088">
        <f>S743</f>
        <v>0.06</v>
      </c>
      <c r="R772" s="373"/>
      <c r="S772" s="328"/>
      <c r="T772" s="328"/>
      <c r="U772" s="328"/>
      <c r="V772" s="328"/>
      <c r="W772" s="328"/>
    </row>
    <row r="773" spans="2:23">
      <c r="C773" s="37"/>
      <c r="D773" s="328"/>
      <c r="E773" s="375"/>
      <c r="F773" s="373" t="s">
        <v>768</v>
      </c>
      <c r="G773" s="373"/>
      <c r="H773" s="381">
        <f>Q751</f>
        <v>0.75</v>
      </c>
      <c r="I773" s="374" t="s">
        <v>267</v>
      </c>
      <c r="J773" s="381">
        <f>S742</f>
        <v>0.03</v>
      </c>
      <c r="K773" s="374" t="s">
        <v>63</v>
      </c>
      <c r="L773" s="382">
        <f>H773*J773</f>
        <v>2.2499999999999999E-2</v>
      </c>
      <c r="M773" s="374" t="s">
        <v>511</v>
      </c>
      <c r="N773" s="1562">
        <f>O751</f>
        <v>270000</v>
      </c>
      <c r="O773" s="1562">
        <f>$O$697</f>
        <v>210000</v>
      </c>
      <c r="P773" s="1563">
        <f>O749</f>
        <v>90000</v>
      </c>
      <c r="Q773" s="1563"/>
      <c r="R773" s="373"/>
      <c r="S773" s="328"/>
      <c r="T773" s="328"/>
      <c r="U773" s="328"/>
      <c r="V773" s="328"/>
      <c r="W773" s="328"/>
    </row>
    <row r="774" spans="2:23">
      <c r="C774" s="37"/>
      <c r="D774" s="328"/>
      <c r="E774" s="375"/>
      <c r="F774" s="384" t="s">
        <v>767</v>
      </c>
      <c r="G774" s="373"/>
      <c r="H774" s="381">
        <f>Q749</f>
        <v>0.25</v>
      </c>
      <c r="I774" s="374" t="s">
        <v>267</v>
      </c>
      <c r="J774" s="381">
        <f>S743</f>
        <v>0.06</v>
      </c>
      <c r="K774" s="374" t="s">
        <v>63</v>
      </c>
      <c r="L774" s="382">
        <f>H774*J774</f>
        <v>1.4999999999999999E-2</v>
      </c>
      <c r="M774" s="374" t="s">
        <v>511</v>
      </c>
      <c r="N774" s="373"/>
      <c r="O774" s="373"/>
      <c r="P774" s="373"/>
      <c r="Q774" s="373"/>
      <c r="R774" s="373"/>
      <c r="S774" s="328"/>
      <c r="T774" s="328"/>
      <c r="U774" s="328"/>
      <c r="V774" s="328"/>
      <c r="W774" s="328"/>
    </row>
    <row r="775" spans="2:23">
      <c r="C775" s="37"/>
      <c r="D775" s="328"/>
      <c r="E775" s="375"/>
      <c r="F775" s="384" t="s">
        <v>766</v>
      </c>
      <c r="G775" s="373"/>
      <c r="H775" s="373"/>
      <c r="I775" s="373"/>
      <c r="J775" s="373"/>
      <c r="K775" s="385" t="s">
        <v>513</v>
      </c>
      <c r="L775" s="382">
        <f>SUM(L773:L774)</f>
        <v>3.7499999999999999E-2</v>
      </c>
      <c r="M775" s="374" t="s">
        <v>511</v>
      </c>
      <c r="N775" s="375"/>
      <c r="O775" s="368" t="s">
        <v>63</v>
      </c>
      <c r="P775" s="386">
        <f>(N772*O772+P772*Q772)/(N773+P773)</f>
        <v>3.7499999999999999E-2</v>
      </c>
      <c r="Q775" s="373"/>
      <c r="R775" s="373"/>
      <c r="S775" s="328"/>
      <c r="T775" s="328"/>
      <c r="U775" s="328"/>
      <c r="V775" s="328"/>
      <c r="W775" s="328"/>
    </row>
    <row r="776" spans="2:23">
      <c r="C776" s="37"/>
      <c r="D776" s="328"/>
      <c r="E776" s="328"/>
      <c r="F776" s="328"/>
      <c r="G776" s="328"/>
      <c r="H776" s="328"/>
      <c r="I776" s="328"/>
      <c r="J776" s="328"/>
      <c r="K776" s="328"/>
      <c r="L776" s="328"/>
      <c r="M776" s="328"/>
      <c r="N776" s="328"/>
      <c r="O776" s="328"/>
      <c r="P776" s="328"/>
      <c r="Q776" s="328"/>
      <c r="R776" s="328"/>
      <c r="S776" s="328"/>
      <c r="T776" s="328"/>
      <c r="U776" s="328"/>
      <c r="V776" s="328"/>
      <c r="W776" s="328"/>
    </row>
    <row r="777" spans="2:23">
      <c r="C777" s="37"/>
      <c r="D777" s="1266" t="s">
        <v>1492</v>
      </c>
      <c r="E777" s="328"/>
      <c r="F777" s="328"/>
      <c r="G777" s="328"/>
      <c r="H777" s="328"/>
      <c r="I777" s="328"/>
      <c r="J777" s="328"/>
      <c r="K777" s="328"/>
      <c r="L777" s="328"/>
      <c r="M777" s="328"/>
      <c r="N777" s="328"/>
      <c r="O777" s="328"/>
      <c r="P777" s="328"/>
      <c r="Q777" s="328"/>
      <c r="R777" s="328"/>
      <c r="S777" s="328"/>
      <c r="T777" s="328"/>
      <c r="U777" s="328"/>
      <c r="V777" s="328"/>
      <c r="W777" s="328"/>
    </row>
    <row r="778" spans="2:23">
      <c r="C778" s="37"/>
      <c r="D778" s="1267" t="s">
        <v>1493</v>
      </c>
      <c r="F778" s="328"/>
      <c r="G778" s="328"/>
      <c r="H778" s="328"/>
      <c r="I778" s="328"/>
      <c r="J778" s="328"/>
      <c r="K778" s="328"/>
      <c r="L778" s="328"/>
      <c r="R778" s="328"/>
      <c r="S778" s="328"/>
      <c r="T778" s="328"/>
      <c r="U778" s="328"/>
      <c r="V778" s="328"/>
      <c r="W778" s="328"/>
    </row>
    <row r="779" spans="2:23" ht="18.600000000000001">
      <c r="B779" s="182"/>
      <c r="C779" s="37"/>
      <c r="D779" s="1267" t="s">
        <v>1494</v>
      </c>
      <c r="F779" s="328"/>
      <c r="G779" s="328"/>
      <c r="H779" s="328"/>
      <c r="I779" s="328"/>
      <c r="J779" s="328"/>
      <c r="K779" s="328"/>
      <c r="L779" s="328"/>
      <c r="R779" s="328"/>
      <c r="S779" s="328"/>
      <c r="T779" s="328"/>
      <c r="U779" s="328"/>
      <c r="V779" s="328"/>
      <c r="W779" s="328"/>
    </row>
    <row r="780" spans="2:23" ht="14.4">
      <c r="C780" s="37"/>
      <c r="D780" s="1267"/>
      <c r="F780" s="328"/>
      <c r="G780" s="1268" t="s">
        <v>1449</v>
      </c>
      <c r="H780" s="1572" t="s">
        <v>63</v>
      </c>
      <c r="J780" s="1300">
        <f>$H$747</f>
        <v>100000</v>
      </c>
      <c r="K780" s="1283" t="s">
        <v>1491</v>
      </c>
      <c r="L780" s="1300">
        <f>$M$747</f>
        <v>20000</v>
      </c>
      <c r="M780" s="1283" t="s">
        <v>27</v>
      </c>
      <c r="O780" s="1569" t="s">
        <v>63</v>
      </c>
      <c r="P780" s="1578">
        <f>(J780+L780)/2</f>
        <v>60000</v>
      </c>
      <c r="Q780" s="1579" t="s">
        <v>27</v>
      </c>
      <c r="R780" s="328"/>
      <c r="V780" s="328"/>
      <c r="W780" s="328"/>
    </row>
    <row r="781" spans="2:23">
      <c r="C781" s="37"/>
      <c r="D781" s="1267"/>
      <c r="F781" s="328"/>
      <c r="G781" s="1269">
        <v>2</v>
      </c>
      <c r="H781" s="1573"/>
      <c r="J781" s="328"/>
      <c r="K781" s="355">
        <v>2</v>
      </c>
      <c r="L781" s="328"/>
      <c r="O781" s="1570"/>
      <c r="P781" s="1578"/>
      <c r="Q781" s="1580"/>
      <c r="R781" s="328"/>
      <c r="V781" s="328"/>
      <c r="W781" s="328"/>
    </row>
    <row r="782" spans="2:23">
      <c r="C782" s="37"/>
      <c r="D782" s="1267" t="s">
        <v>1495</v>
      </c>
      <c r="F782" s="328"/>
      <c r="G782" s="328"/>
      <c r="H782" s="328"/>
      <c r="I782" s="328"/>
      <c r="J782" s="328"/>
      <c r="K782" s="328"/>
      <c r="L782" s="328"/>
      <c r="R782" s="328"/>
      <c r="S782" s="328"/>
      <c r="T782" s="328"/>
      <c r="U782" s="328"/>
      <c r="V782" s="328"/>
      <c r="W782" s="328"/>
    </row>
    <row r="783" spans="2:23">
      <c r="C783" s="37"/>
      <c r="D783" s="1267" t="s">
        <v>1496</v>
      </c>
      <c r="F783" s="328"/>
      <c r="G783" s="328"/>
      <c r="H783" s="328"/>
      <c r="I783" s="328"/>
      <c r="J783" s="328"/>
      <c r="K783" s="328"/>
      <c r="L783" s="328"/>
      <c r="R783" s="328"/>
      <c r="S783" s="328"/>
      <c r="T783" s="328"/>
      <c r="U783" s="328"/>
      <c r="V783" s="328"/>
      <c r="W783" s="328"/>
    </row>
    <row r="784" spans="2:23" ht="18.600000000000001">
      <c r="B784" s="182"/>
      <c r="C784" s="37"/>
      <c r="D784" s="1295"/>
      <c r="E784" s="1288" t="s">
        <v>1489</v>
      </c>
      <c r="F784" s="1298"/>
      <c r="G784" s="1571" t="s">
        <v>267</v>
      </c>
      <c r="H784" s="1175" t="s">
        <v>1487</v>
      </c>
      <c r="I784" s="1297"/>
      <c r="J784" s="1569" t="s">
        <v>63</v>
      </c>
      <c r="K784" s="1299">
        <f>H749</f>
        <v>60000</v>
      </c>
      <c r="L784" s="1571" t="s">
        <v>267</v>
      </c>
      <c r="M784" s="1283">
        <f>H752</f>
        <v>2</v>
      </c>
      <c r="N784" s="1283" t="s">
        <v>1490</v>
      </c>
      <c r="O784" s="1569" t="s">
        <v>63</v>
      </c>
      <c r="P784" s="1578">
        <f>K784/2*(M784+1)/(M785+1)</f>
        <v>15000</v>
      </c>
      <c r="Q784" s="1579" t="s">
        <v>27</v>
      </c>
      <c r="R784" s="328"/>
      <c r="S784" s="328"/>
      <c r="T784" s="328"/>
      <c r="U784" s="328"/>
      <c r="V784" s="328"/>
      <c r="W784" s="328"/>
    </row>
    <row r="785" spans="2:23">
      <c r="C785" s="37"/>
      <c r="D785" s="1295"/>
      <c r="E785" s="60">
        <v>2</v>
      </c>
      <c r="F785" s="357"/>
      <c r="G785" s="1570"/>
      <c r="H785" s="1233" t="s">
        <v>1488</v>
      </c>
      <c r="I785" s="80"/>
      <c r="J785" s="1570"/>
      <c r="K785" s="355">
        <v>2</v>
      </c>
      <c r="L785" s="1570"/>
      <c r="M785" s="33">
        <f>M746</f>
        <v>5</v>
      </c>
      <c r="N785" s="1266" t="s">
        <v>1490</v>
      </c>
      <c r="O785" s="1570"/>
      <c r="P785" s="1578"/>
      <c r="Q785" s="1580"/>
      <c r="R785" s="328"/>
      <c r="S785" s="328"/>
      <c r="T785" s="328"/>
      <c r="U785" s="328"/>
      <c r="V785" s="328"/>
      <c r="W785" s="328"/>
    </row>
    <row r="786" spans="2:23">
      <c r="C786" s="37"/>
      <c r="D786" s="1295"/>
      <c r="E786" s="80"/>
      <c r="F786" s="1296"/>
      <c r="G786" s="1296"/>
      <c r="H786" s="1296"/>
      <c r="I786" s="1296"/>
      <c r="J786" s="1296"/>
      <c r="K786" s="1296"/>
      <c r="L786" s="1296"/>
      <c r="M786" s="80"/>
      <c r="N786" s="80"/>
      <c r="O786" s="80"/>
      <c r="P786" s="80"/>
      <c r="R786" s="328"/>
      <c r="S786" s="328"/>
      <c r="T786" s="328"/>
      <c r="U786" s="328"/>
      <c r="V786" s="328"/>
      <c r="W786" s="328"/>
    </row>
    <row r="787" spans="2:23">
      <c r="C787" s="37"/>
      <c r="D787" s="1267" t="s">
        <v>1500</v>
      </c>
      <c r="F787" s="328"/>
      <c r="G787" s="328"/>
      <c r="H787" s="328"/>
      <c r="I787" s="328"/>
      <c r="J787" s="328"/>
      <c r="K787" s="328"/>
      <c r="L787" s="328"/>
      <c r="R787" s="328"/>
      <c r="S787" s="328"/>
      <c r="T787" s="328"/>
      <c r="U787" s="328"/>
      <c r="V787" s="328"/>
      <c r="W787" s="328"/>
    </row>
    <row r="788" spans="2:23" ht="18.600000000000001">
      <c r="B788" s="182"/>
      <c r="C788" s="37"/>
      <c r="D788" s="1267"/>
      <c r="E788" s="1304" t="s">
        <v>1497</v>
      </c>
      <c r="F788" s="228"/>
      <c r="G788" s="228"/>
      <c r="H788" s="1298"/>
      <c r="I788" s="1298"/>
      <c r="J788" s="1298"/>
      <c r="K788" s="1298"/>
      <c r="L788" s="1298"/>
      <c r="M788" s="1569" t="s">
        <v>63</v>
      </c>
      <c r="N788" s="156">
        <f>P784</f>
        <v>15000</v>
      </c>
      <c r="O788" s="1171" t="s">
        <v>27</v>
      </c>
      <c r="P788" s="1569" t="s">
        <v>63</v>
      </c>
      <c r="Q788" s="1581">
        <f>N788/N789</f>
        <v>0.25</v>
      </c>
      <c r="R788" s="328"/>
      <c r="S788" s="328"/>
      <c r="T788" s="328"/>
      <c r="U788" s="328"/>
      <c r="V788" s="328"/>
      <c r="W788" s="328"/>
    </row>
    <row r="789" spans="2:23">
      <c r="C789" s="37"/>
      <c r="D789" s="1267"/>
      <c r="E789" s="1303" t="s">
        <v>1498</v>
      </c>
      <c r="F789" s="1292"/>
      <c r="G789" s="1292"/>
      <c r="H789" s="1293"/>
      <c r="I789" s="1293"/>
      <c r="J789" s="1293"/>
      <c r="K789" s="1293"/>
      <c r="L789" s="1293"/>
      <c r="M789" s="1570"/>
      <c r="N789" s="1301">
        <f>P780</f>
        <v>60000</v>
      </c>
      <c r="O789" s="1302" t="s">
        <v>27</v>
      </c>
      <c r="P789" s="1570"/>
      <c r="Q789" s="1581"/>
      <c r="R789" s="328"/>
      <c r="S789" s="328"/>
      <c r="T789" s="328"/>
      <c r="U789" s="328"/>
      <c r="V789" s="328"/>
      <c r="W789" s="328"/>
    </row>
    <row r="790" spans="2:23">
      <c r="C790" s="37"/>
      <c r="F790" s="328"/>
      <c r="G790" s="328"/>
      <c r="H790" s="328"/>
      <c r="I790" s="328"/>
      <c r="J790" s="328"/>
      <c r="K790" s="328"/>
      <c r="L790" s="328"/>
      <c r="M790" s="328"/>
      <c r="N790" s="328"/>
      <c r="O790" s="328"/>
      <c r="P790" s="328"/>
      <c r="Q790" s="328"/>
      <c r="R790" s="328"/>
      <c r="S790" s="328"/>
      <c r="T790" s="328"/>
      <c r="U790" s="328"/>
      <c r="V790" s="328"/>
      <c r="W790" s="328"/>
    </row>
    <row r="791" spans="2:23">
      <c r="C791" s="37"/>
      <c r="D791" s="1267" t="s">
        <v>1499</v>
      </c>
      <c r="E791" s="328"/>
      <c r="F791" s="328"/>
      <c r="G791" s="328"/>
      <c r="H791" s="328"/>
      <c r="I791" s="328"/>
      <c r="J791" s="328"/>
      <c r="K791" s="328"/>
      <c r="L791" s="328"/>
      <c r="M791" s="328"/>
      <c r="N791" s="328"/>
      <c r="O791" s="328"/>
      <c r="P791" s="328"/>
      <c r="Q791" s="328"/>
      <c r="R791" s="328"/>
      <c r="S791" s="328"/>
      <c r="T791" s="328"/>
      <c r="U791" s="328"/>
      <c r="V791" s="328"/>
      <c r="W791" s="328"/>
    </row>
    <row r="793" spans="2:23">
      <c r="C793" s="391" t="s">
        <v>835</v>
      </c>
    </row>
    <row r="794" spans="2:23" ht="18.600000000000001">
      <c r="B794" s="89"/>
      <c r="C794" s="37" t="s">
        <v>733</v>
      </c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</row>
    <row r="795" spans="2:23">
      <c r="C795" s="37" t="s">
        <v>153</v>
      </c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</row>
    <row r="796" spans="2:23">
      <c r="C796" s="37" t="s">
        <v>959</v>
      </c>
      <c r="D796" s="35"/>
      <c r="E796" s="35"/>
      <c r="F796" s="35"/>
      <c r="G796" s="35"/>
      <c r="H796" s="35"/>
      <c r="I796" s="35"/>
      <c r="J796" s="35"/>
    </row>
    <row r="797" spans="2:23">
      <c r="C797" s="37" t="s">
        <v>960</v>
      </c>
      <c r="D797" s="35"/>
      <c r="E797" s="35"/>
      <c r="F797" s="35"/>
      <c r="G797" s="35"/>
      <c r="H797" s="35"/>
      <c r="I797" s="35"/>
      <c r="J797" s="35"/>
    </row>
    <row r="798" spans="2:23">
      <c r="C798" s="37" t="s">
        <v>961</v>
      </c>
      <c r="D798" s="35"/>
      <c r="E798" s="35"/>
      <c r="F798" s="35"/>
      <c r="G798" s="35"/>
      <c r="H798" s="35"/>
      <c r="I798" s="35"/>
      <c r="J798" s="35"/>
    </row>
    <row r="799" spans="2:23">
      <c r="C799" s="36" t="s">
        <v>962</v>
      </c>
      <c r="D799" s="35"/>
      <c r="E799" s="35"/>
      <c r="F799" s="35"/>
      <c r="G799" s="35"/>
      <c r="H799" s="35"/>
      <c r="I799" s="35"/>
      <c r="J799" s="35"/>
    </row>
    <row r="800" spans="2:23">
      <c r="C800" s="37" t="s">
        <v>963</v>
      </c>
      <c r="D800" s="35"/>
      <c r="E800" s="35"/>
      <c r="F800" s="35"/>
      <c r="G800" s="35"/>
      <c r="H800" s="35"/>
      <c r="I800" s="35"/>
      <c r="J800" s="35"/>
    </row>
    <row r="801" spans="1:17">
      <c r="C801" s="37"/>
      <c r="D801" s="35"/>
      <c r="E801" s="35"/>
      <c r="F801" s="35"/>
      <c r="G801" s="35"/>
      <c r="H801" s="35"/>
      <c r="I801" s="35"/>
      <c r="J801" s="35"/>
    </row>
    <row r="802" spans="1:17" s="328" customFormat="1">
      <c r="A802" s="363"/>
      <c r="B802" s="33"/>
      <c r="C802" s="372" t="s">
        <v>702</v>
      </c>
    </row>
    <row r="803" spans="1:17" s="328" customFormat="1">
      <c r="A803" s="363"/>
      <c r="C803" s="328" t="s">
        <v>588</v>
      </c>
      <c r="F803" s="358" t="s">
        <v>796</v>
      </c>
      <c r="J803" s="371" t="s">
        <v>156</v>
      </c>
      <c r="L803" s="359">
        <v>5</v>
      </c>
      <c r="M803" s="328" t="s">
        <v>1163</v>
      </c>
    </row>
    <row r="804" spans="1:17" s="328" customFormat="1">
      <c r="A804" s="363"/>
      <c r="F804" s="329" t="s">
        <v>791</v>
      </c>
      <c r="J804" s="365" t="s">
        <v>155</v>
      </c>
      <c r="L804" s="359">
        <v>-2.2000000000000002</v>
      </c>
      <c r="M804" s="328" t="s">
        <v>1163</v>
      </c>
    </row>
    <row r="805" spans="1:17" s="328" customFormat="1">
      <c r="A805" s="363"/>
      <c r="F805" s="329" t="s">
        <v>797</v>
      </c>
      <c r="J805" s="371" t="s">
        <v>154</v>
      </c>
      <c r="L805" s="359">
        <f>L803+L804</f>
        <v>2.8</v>
      </c>
      <c r="M805" s="328" t="s">
        <v>1163</v>
      </c>
    </row>
    <row r="806" spans="1:17" s="328" customFormat="1">
      <c r="A806" s="363"/>
      <c r="F806" s="329"/>
      <c r="J806" s="359"/>
      <c r="L806" s="360"/>
    </row>
    <row r="807" spans="1:17" s="328" customFormat="1">
      <c r="A807" s="363"/>
      <c r="C807" s="329" t="s">
        <v>798</v>
      </c>
    </row>
    <row r="808" spans="1:17" s="328" customFormat="1">
      <c r="A808" s="363"/>
      <c r="H808" s="357" t="s">
        <v>799</v>
      </c>
      <c r="I808" s="357"/>
      <c r="J808" s="357"/>
      <c r="L808" s="357">
        <f>1+L803/100</f>
        <v>1.05</v>
      </c>
      <c r="M808" s="357"/>
    </row>
    <row r="809" spans="1:17" s="328" customFormat="1" ht="10.5" customHeight="1">
      <c r="A809" s="363"/>
      <c r="F809" s="329" t="s">
        <v>800</v>
      </c>
      <c r="H809" s="357" t="s">
        <v>792</v>
      </c>
      <c r="I809" s="357"/>
      <c r="J809" s="357"/>
      <c r="K809" s="329" t="s">
        <v>793</v>
      </c>
      <c r="L809" s="361" t="s">
        <v>794</v>
      </c>
      <c r="M809" s="357"/>
      <c r="N809" s="329" t="s">
        <v>793</v>
      </c>
    </row>
    <row r="810" spans="1:17" s="328" customFormat="1" ht="10.5" customHeight="1">
      <c r="A810" s="363"/>
      <c r="H810" s="361" t="s">
        <v>795</v>
      </c>
      <c r="I810" s="357"/>
      <c r="J810" s="357"/>
      <c r="L810" s="357">
        <f>1+-L804/100</f>
        <v>1.022</v>
      </c>
      <c r="M810" s="357"/>
    </row>
    <row r="811" spans="1:17" s="328" customFormat="1">
      <c r="A811" s="363"/>
    </row>
    <row r="812" spans="1:17" s="328" customFormat="1">
      <c r="A812" s="363"/>
      <c r="F812" s="329" t="s">
        <v>800</v>
      </c>
      <c r="H812" s="362">
        <f>L808/L810</f>
        <v>1.0273972602739727</v>
      </c>
      <c r="I812" s="329" t="s">
        <v>793</v>
      </c>
      <c r="J812" s="362">
        <f>H812-1</f>
        <v>2.7397260273972712E-2</v>
      </c>
      <c r="K812" s="355" t="s">
        <v>63</v>
      </c>
      <c r="L812" s="390">
        <f>J812</f>
        <v>2.7397260273972712E-2</v>
      </c>
    </row>
    <row r="813" spans="1:17">
      <c r="C813" s="37"/>
      <c r="D813" s="35"/>
      <c r="E813" s="35"/>
      <c r="F813" s="35"/>
      <c r="G813" s="35"/>
      <c r="H813" s="35"/>
      <c r="I813" s="35"/>
      <c r="J813" s="35"/>
    </row>
    <row r="814" spans="1:17">
      <c r="C814" s="37"/>
      <c r="D814" s="35"/>
      <c r="E814" s="35"/>
      <c r="F814" s="35"/>
      <c r="G814" s="35"/>
      <c r="H814" s="35"/>
      <c r="I814" s="35"/>
      <c r="J814" s="35"/>
    </row>
    <row r="815" spans="1:17">
      <c r="C815" s="37"/>
      <c r="D815" s="35"/>
      <c r="E815" s="35"/>
      <c r="F815" s="35"/>
      <c r="G815" s="35"/>
      <c r="H815" s="35"/>
      <c r="I815" s="35"/>
      <c r="J815" s="35"/>
    </row>
    <row r="816" spans="1:17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</row>
    <row r="817" spans="3:21" ht="20.399999999999999">
      <c r="C817" s="169" t="s">
        <v>377</v>
      </c>
      <c r="D817" s="76"/>
      <c r="E817"/>
      <c r="F817" s="70" t="s">
        <v>807</v>
      </c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</row>
    <row r="818" spans="3:21">
      <c r="C818" s="37" t="s">
        <v>808</v>
      </c>
      <c r="D818" s="35"/>
      <c r="E818" s="35"/>
      <c r="F818" s="35"/>
      <c r="G818" s="35"/>
      <c r="H818" s="35"/>
      <c r="I818" s="35"/>
      <c r="J818" s="35"/>
    </row>
    <row r="819" spans="3:21">
      <c r="C819" s="83" t="s">
        <v>842</v>
      </c>
      <c r="D819" s="37" t="s">
        <v>809</v>
      </c>
      <c r="E819" s="35"/>
      <c r="F819" s="35"/>
      <c r="G819" s="35"/>
      <c r="H819" s="35"/>
      <c r="I819" s="35"/>
      <c r="J819" s="35"/>
    </row>
    <row r="820" spans="3:21">
      <c r="C820" s="83" t="s">
        <v>842</v>
      </c>
      <c r="D820" s="37" t="s">
        <v>810</v>
      </c>
      <c r="E820" s="35"/>
      <c r="F820" s="35"/>
      <c r="G820" s="35"/>
      <c r="H820" s="35"/>
      <c r="I820" s="35"/>
      <c r="J820" s="35"/>
    </row>
    <row r="822" spans="3:21">
      <c r="C822" s="37" t="s">
        <v>811</v>
      </c>
      <c r="D822" s="35"/>
      <c r="E822" s="35"/>
      <c r="F822" s="35"/>
      <c r="G822" s="35"/>
      <c r="H822" s="35"/>
      <c r="I822" s="35"/>
      <c r="J822" s="35"/>
    </row>
    <row r="823" spans="3:21">
      <c r="C823" s="83" t="s">
        <v>842</v>
      </c>
      <c r="D823" s="37" t="s">
        <v>812</v>
      </c>
      <c r="E823" s="35"/>
      <c r="F823" s="35"/>
      <c r="G823" s="35"/>
      <c r="H823" s="35" t="s">
        <v>982</v>
      </c>
      <c r="I823"/>
      <c r="J823"/>
    </row>
    <row r="824" spans="3:21">
      <c r="C824" s="83" t="s">
        <v>842</v>
      </c>
      <c r="D824" s="37" t="s">
        <v>568</v>
      </c>
      <c r="E824" s="35"/>
      <c r="F824" s="35"/>
      <c r="G824" s="35"/>
      <c r="H824" s="36" t="s">
        <v>983</v>
      </c>
      <c r="I824"/>
      <c r="J824"/>
    </row>
    <row r="825" spans="3:21">
      <c r="C825" s="37"/>
      <c r="D825" s="37"/>
      <c r="E825" s="35"/>
      <c r="F825" s="35"/>
      <c r="G825" s="35"/>
      <c r="H825" s="35"/>
      <c r="I825" s="10"/>
      <c r="J825" s="5"/>
      <c r="K825" s="10"/>
      <c r="L825"/>
      <c r="M825" s="35"/>
    </row>
    <row r="826" spans="3:21">
      <c r="C826" s="37" t="s">
        <v>813</v>
      </c>
      <c r="D826" s="35"/>
      <c r="E826" s="35"/>
      <c r="F826" s="35"/>
      <c r="G826" s="35"/>
      <c r="H826" s="35"/>
      <c r="I826" s="35"/>
      <c r="J826" s="35"/>
      <c r="K826" s="35"/>
      <c r="L826" s="35"/>
      <c r="M826" s="35"/>
    </row>
    <row r="827" spans="3:21">
      <c r="C827" s="37" t="s">
        <v>703</v>
      </c>
      <c r="D827" s="35"/>
      <c r="E827" s="35"/>
      <c r="F827" s="35"/>
      <c r="G827" s="35"/>
      <c r="H827" s="35"/>
      <c r="I827" s="35"/>
      <c r="J827" s="35"/>
      <c r="K827" s="35"/>
      <c r="L827" s="35"/>
      <c r="M827" s="35"/>
    </row>
    <row r="828" spans="3:21">
      <c r="C828" s="36" t="s">
        <v>756</v>
      </c>
      <c r="D828" s="35"/>
      <c r="E828" s="35"/>
      <c r="F828" s="35"/>
      <c r="G828" s="35"/>
      <c r="H828" s="35"/>
      <c r="I828" s="35"/>
      <c r="J828" s="35"/>
      <c r="K828" s="35"/>
      <c r="L828" s="35"/>
      <c r="M828" s="35"/>
    </row>
    <row r="830" spans="3:21" ht="12" customHeight="1">
      <c r="C830"/>
      <c r="D830"/>
      <c r="E830"/>
      <c r="G830" s="322" t="s">
        <v>464</v>
      </c>
      <c r="H830" s="60"/>
      <c r="J830" s="324" t="s">
        <v>753</v>
      </c>
      <c r="K830" s="24" t="s">
        <v>814</v>
      </c>
    </row>
    <row r="831" spans="3:21" ht="12" customHeight="1">
      <c r="C831"/>
      <c r="D831" t="s">
        <v>754</v>
      </c>
      <c r="G831" s="323" t="s">
        <v>455</v>
      </c>
      <c r="H831" s="60"/>
      <c r="J831" s="207" t="s">
        <v>736</v>
      </c>
      <c r="K831" s="24" t="s">
        <v>755</v>
      </c>
    </row>
    <row r="832" spans="3:21" ht="12" customHeight="1">
      <c r="C832"/>
      <c r="D832" s="37"/>
      <c r="E832"/>
      <c r="G832" s="322" t="s">
        <v>465</v>
      </c>
      <c r="H832" s="60"/>
      <c r="J832" s="207" t="s">
        <v>752</v>
      </c>
      <c r="K832" s="24" t="s">
        <v>757</v>
      </c>
    </row>
    <row r="833" spans="2:17">
      <c r="C833" s="35"/>
      <c r="D833" s="35"/>
      <c r="H833" s="35"/>
      <c r="I833"/>
      <c r="J833" s="325" t="s">
        <v>815</v>
      </c>
      <c r="K833" s="326" t="s">
        <v>816</v>
      </c>
      <c r="L833"/>
    </row>
    <row r="834" spans="2:17">
      <c r="C834" s="35"/>
      <c r="D834" s="35"/>
      <c r="G834" s="327" t="s">
        <v>451</v>
      </c>
      <c r="H834" s="87"/>
      <c r="I834"/>
      <c r="J834"/>
      <c r="K834"/>
      <c r="L834"/>
      <c r="M834" s="12"/>
      <c r="N834" s="12"/>
      <c r="O834" s="35"/>
    </row>
    <row r="835" spans="2:17">
      <c r="B835" s="34"/>
      <c r="H835" s="35"/>
      <c r="I835"/>
      <c r="J835"/>
      <c r="K835"/>
      <c r="L835"/>
      <c r="M835" s="35"/>
      <c r="N835" s="35"/>
      <c r="O835" s="35"/>
    </row>
    <row r="836" spans="2:17">
      <c r="B836" s="34"/>
      <c r="C836" s="29" t="s">
        <v>846</v>
      </c>
      <c r="H836" s="35"/>
      <c r="I836"/>
      <c r="J836"/>
      <c r="K836"/>
      <c r="L836"/>
      <c r="M836" s="35"/>
      <c r="N836" s="35"/>
      <c r="O836" s="35"/>
    </row>
    <row r="837" spans="2:17">
      <c r="B837" s="34"/>
      <c r="C837" s="33" t="s">
        <v>847</v>
      </c>
      <c r="H837" s="35"/>
      <c r="I837"/>
      <c r="J837"/>
      <c r="K837"/>
      <c r="L837"/>
      <c r="M837" s="35"/>
      <c r="N837" s="35"/>
      <c r="O837" s="35"/>
    </row>
    <row r="838" spans="2:17">
      <c r="B838" s="34"/>
      <c r="C838" s="33" t="s">
        <v>848</v>
      </c>
      <c r="H838" s="35"/>
      <c r="I838"/>
      <c r="J838"/>
      <c r="K838"/>
      <c r="L838"/>
      <c r="M838" s="35"/>
      <c r="N838" s="35"/>
      <c r="O838" s="1053">
        <f>B546</f>
        <v>9</v>
      </c>
      <c r="P838" s="192"/>
    </row>
    <row r="839" spans="2:17">
      <c r="B839" s="34"/>
      <c r="C839" s="33" t="s">
        <v>964</v>
      </c>
      <c r="H839" s="35"/>
      <c r="I839"/>
      <c r="J839"/>
      <c r="K839"/>
      <c r="L839"/>
      <c r="M839" s="35"/>
      <c r="N839" s="35"/>
      <c r="O839" s="324"/>
      <c r="P839" s="192"/>
    </row>
    <row r="840" spans="2:17">
      <c r="B840" s="34"/>
      <c r="H840" s="35"/>
      <c r="I840"/>
      <c r="J840"/>
      <c r="K840"/>
      <c r="L840"/>
      <c r="M840" s="35"/>
      <c r="N840" s="35"/>
      <c r="O840" s="35"/>
    </row>
    <row r="841" spans="2:17">
      <c r="C841"/>
      <c r="D841"/>
      <c r="E841"/>
      <c r="F841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</row>
    <row r="843" spans="2:17" ht="22.8">
      <c r="B843" s="4"/>
      <c r="C843" s="437" t="s">
        <v>725</v>
      </c>
      <c r="D843" s="167"/>
      <c r="E843"/>
      <c r="F843" s="637" t="s">
        <v>374</v>
      </c>
    </row>
    <row r="844" spans="2:17" ht="20.399999999999999">
      <c r="C844" s="169" t="s">
        <v>102</v>
      </c>
      <c r="D844" s="76"/>
      <c r="E844"/>
      <c r="F844" s="181" t="s">
        <v>120</v>
      </c>
      <c r="G844" s="25"/>
      <c r="H844" s="25"/>
      <c r="I844" s="25"/>
    </row>
    <row r="845" spans="2:17">
      <c r="B845" s="35"/>
      <c r="C845" s="37" t="s">
        <v>104</v>
      </c>
      <c r="D845" s="35"/>
    </row>
    <row r="846" spans="2:17">
      <c r="B846" s="35"/>
      <c r="C846" s="37" t="s">
        <v>0</v>
      </c>
      <c r="D846" s="35"/>
    </row>
    <row r="847" spans="2:17">
      <c r="B847" s="35"/>
      <c r="C847" s="37" t="s">
        <v>103</v>
      </c>
      <c r="D847" s="35"/>
    </row>
    <row r="848" spans="2:17">
      <c r="B848" s="35"/>
      <c r="C848" s="37" t="s">
        <v>845</v>
      </c>
      <c r="D848" s="35"/>
    </row>
    <row r="849" spans="2:4">
      <c r="B849" s="35"/>
      <c r="C849" s="37" t="s">
        <v>81</v>
      </c>
      <c r="D849" s="35"/>
    </row>
    <row r="851" spans="2:4">
      <c r="C851" s="37" t="s">
        <v>82</v>
      </c>
    </row>
    <row r="852" spans="2:4">
      <c r="C852" s="36" t="s">
        <v>83</v>
      </c>
    </row>
    <row r="853" spans="2:4">
      <c r="C853" s="1072" t="s">
        <v>1226</v>
      </c>
    </row>
    <row r="854" spans="2:4">
      <c r="C854" s="37" t="s">
        <v>1137</v>
      </c>
    </row>
    <row r="855" spans="2:4">
      <c r="C855" s="37" t="s">
        <v>965</v>
      </c>
    </row>
    <row r="856" spans="2:4">
      <c r="C856" s="36" t="s">
        <v>966</v>
      </c>
    </row>
    <row r="857" spans="2:4">
      <c r="C857" s="37" t="s">
        <v>84</v>
      </c>
    </row>
    <row r="858" spans="2:4">
      <c r="C858" s="1072" t="s">
        <v>1228</v>
      </c>
    </row>
    <row r="859" spans="2:4">
      <c r="C859" s="1072" t="s">
        <v>1229</v>
      </c>
    </row>
    <row r="860" spans="2:4">
      <c r="C860" s="1072" t="s">
        <v>1227</v>
      </c>
    </row>
    <row r="861" spans="2:4">
      <c r="C861" s="37" t="s">
        <v>967</v>
      </c>
    </row>
    <row r="862" spans="2:4">
      <c r="C862" s="37" t="s">
        <v>970</v>
      </c>
    </row>
    <row r="863" spans="2:4">
      <c r="C863" s="37" t="s">
        <v>971</v>
      </c>
    </row>
    <row r="864" spans="2:4">
      <c r="C864" s="37" t="s">
        <v>968</v>
      </c>
    </row>
    <row r="865" spans="3:18">
      <c r="C865" s="37" t="s">
        <v>969</v>
      </c>
    </row>
    <row r="867" spans="3:18">
      <c r="C867"/>
      <c r="D867"/>
      <c r="E867"/>
      <c r="F867" s="71" t="s">
        <v>85</v>
      </c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3"/>
      <c r="R867" s="35"/>
    </row>
    <row r="868" spans="3:18">
      <c r="C868"/>
      <c r="D868"/>
      <c r="E868"/>
      <c r="F868" s="184" t="s">
        <v>86</v>
      </c>
      <c r="G868" s="185"/>
      <c r="H868" s="185"/>
      <c r="I868" s="185"/>
      <c r="J868" s="186" t="s">
        <v>87</v>
      </c>
      <c r="K868" s="185"/>
      <c r="L868" s="185"/>
      <c r="M868" s="187"/>
      <c r="N868" s="185" t="s">
        <v>88</v>
      </c>
      <c r="O868" s="185"/>
      <c r="P868" s="185"/>
      <c r="Q868" s="187"/>
      <c r="R868"/>
    </row>
    <row r="869" spans="3:18">
      <c r="C869"/>
      <c r="D869"/>
      <c r="E869"/>
      <c r="F869" s="74" t="s">
        <v>843</v>
      </c>
      <c r="G869" s="40"/>
      <c r="H869" s="40"/>
      <c r="I869" s="40"/>
      <c r="J869" s="39" t="s">
        <v>89</v>
      </c>
      <c r="K869" s="40"/>
      <c r="L869" s="40"/>
      <c r="M869" s="140"/>
      <c r="N869" s="43" t="s">
        <v>90</v>
      </c>
      <c r="O869" s="40"/>
      <c r="P869" s="40"/>
      <c r="Q869" s="41"/>
      <c r="R869"/>
    </row>
    <row r="870" spans="3:18">
      <c r="C870"/>
      <c r="D870"/>
      <c r="E870"/>
      <c r="F870" s="74" t="s">
        <v>91</v>
      </c>
      <c r="G870" s="40"/>
      <c r="H870" s="40"/>
      <c r="I870" s="40"/>
      <c r="J870" s="39" t="s">
        <v>92</v>
      </c>
      <c r="K870" s="40"/>
      <c r="L870" s="40"/>
      <c r="M870" s="140"/>
      <c r="N870" s="43" t="s">
        <v>93</v>
      </c>
      <c r="O870" s="40"/>
      <c r="P870" s="40"/>
      <c r="Q870" s="41"/>
      <c r="R870"/>
    </row>
    <row r="871" spans="3:18">
      <c r="C871"/>
      <c r="D871"/>
      <c r="E871"/>
      <c r="F871" s="74" t="s">
        <v>94</v>
      </c>
      <c r="G871" s="40"/>
      <c r="H871" s="40"/>
      <c r="I871" s="40"/>
      <c r="J871" s="39" t="s">
        <v>92</v>
      </c>
      <c r="K871" s="40"/>
      <c r="L871" s="40"/>
      <c r="M871" s="140"/>
      <c r="N871" s="43" t="s">
        <v>1140</v>
      </c>
      <c r="O871" s="40"/>
      <c r="P871" s="40"/>
      <c r="Q871" s="41"/>
      <c r="R871"/>
    </row>
    <row r="872" spans="3:18">
      <c r="C872"/>
      <c r="D872"/>
      <c r="E872"/>
      <c r="F872" s="75" t="s">
        <v>573</v>
      </c>
      <c r="G872" s="45"/>
      <c r="H872" s="45"/>
      <c r="I872" s="45"/>
      <c r="J872" s="44" t="s">
        <v>92</v>
      </c>
      <c r="K872" s="45"/>
      <c r="L872" s="45"/>
      <c r="M872" s="141"/>
      <c r="N872" s="45" t="s">
        <v>1138</v>
      </c>
      <c r="O872" s="45"/>
      <c r="P872" s="45"/>
      <c r="Q872" s="47"/>
      <c r="R872"/>
    </row>
    <row r="873" spans="3:18">
      <c r="C873"/>
      <c r="D873"/>
      <c r="E873"/>
      <c r="F873" s="171" t="s">
        <v>1139</v>
      </c>
      <c r="G873"/>
      <c r="H873"/>
      <c r="I873"/>
      <c r="J873"/>
      <c r="K873"/>
      <c r="L873"/>
      <c r="M873"/>
      <c r="N873"/>
      <c r="O873"/>
      <c r="P873"/>
    </row>
    <row r="874" spans="3:18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</row>
    <row r="875" spans="3:18">
      <c r="C875" t="s">
        <v>157</v>
      </c>
      <c r="D875"/>
      <c r="E875"/>
      <c r="F875"/>
      <c r="G875"/>
      <c r="H875"/>
      <c r="I875"/>
      <c r="J875"/>
      <c r="K875"/>
      <c r="L875"/>
      <c r="M875"/>
      <c r="N875"/>
      <c r="O875"/>
      <c r="P875"/>
    </row>
    <row r="876" spans="3:18">
      <c r="C876" t="s">
        <v>126</v>
      </c>
      <c r="D876"/>
      <c r="E876"/>
      <c r="F876"/>
      <c r="G876"/>
      <c r="H876"/>
      <c r="I876"/>
      <c r="J876"/>
      <c r="K876"/>
      <c r="L876"/>
      <c r="M876"/>
      <c r="N876"/>
      <c r="O876"/>
      <c r="P876"/>
    </row>
    <row r="877" spans="3:18">
      <c r="C877" t="s">
        <v>127</v>
      </c>
      <c r="D877"/>
      <c r="E877"/>
      <c r="F877"/>
      <c r="G877"/>
      <c r="H877"/>
      <c r="I877"/>
      <c r="J877"/>
      <c r="K877"/>
      <c r="L877"/>
      <c r="M877"/>
      <c r="N877"/>
      <c r="O877"/>
      <c r="P877"/>
    </row>
    <row r="878" spans="3:18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</row>
    <row r="879" spans="3:18" ht="11.25" customHeight="1">
      <c r="C879"/>
      <c r="D879"/>
      <c r="E879"/>
      <c r="F879"/>
      <c r="K879" s="87"/>
      <c r="L879" s="641" t="s">
        <v>158</v>
      </c>
      <c r="M879" s="87"/>
      <c r="N879" s="87"/>
      <c r="Q879" s="641" t="s">
        <v>815</v>
      </c>
    </row>
    <row r="880" spans="3:18" ht="11.25" customHeight="1">
      <c r="C880"/>
      <c r="D880"/>
      <c r="E880" t="s">
        <v>159</v>
      </c>
      <c r="F880"/>
      <c r="K880" s="87"/>
      <c r="L880" s="641" t="s">
        <v>160</v>
      </c>
      <c r="M880" s="87"/>
      <c r="N880" s="87"/>
      <c r="P880" s="50" t="s">
        <v>63</v>
      </c>
      <c r="Q880" s="641" t="s">
        <v>119</v>
      </c>
    </row>
    <row r="881" spans="2:18" ht="11.25" customHeight="1">
      <c r="C881"/>
      <c r="D881"/>
      <c r="E881"/>
      <c r="F881"/>
      <c r="G881"/>
      <c r="H881"/>
      <c r="K881" s="87"/>
      <c r="L881" s="641" t="s">
        <v>118</v>
      </c>
      <c r="M881" s="87"/>
      <c r="N881" s="87"/>
      <c r="Q881" s="641" t="s">
        <v>247</v>
      </c>
    </row>
    <row r="882" spans="2:18">
      <c r="C882"/>
      <c r="D882"/>
      <c r="E882"/>
      <c r="F882"/>
      <c r="G882"/>
      <c r="H882"/>
      <c r="O882"/>
      <c r="P882"/>
    </row>
    <row r="883" spans="2:18">
      <c r="C883"/>
      <c r="D883"/>
      <c r="E883"/>
      <c r="F883"/>
      <c r="G883"/>
      <c r="H883"/>
      <c r="O883"/>
      <c r="P883"/>
    </row>
    <row r="884" spans="2:18" ht="20.399999999999999">
      <c r="C884" s="169" t="s">
        <v>121</v>
      </c>
      <c r="D884" s="76"/>
      <c r="E884"/>
      <c r="F884" s="181" t="s">
        <v>1174</v>
      </c>
      <c r="G884" s="25"/>
      <c r="H884" s="25"/>
      <c r="I884" s="25"/>
    </row>
    <row r="885" spans="2:18" ht="18.600000000000001">
      <c r="C885" s="639" t="s">
        <v>117</v>
      </c>
      <c r="D885" s="168"/>
      <c r="E885" s="35"/>
      <c r="F885" s="640" t="s">
        <v>1040</v>
      </c>
      <c r="G885"/>
      <c r="H885"/>
      <c r="I885"/>
      <c r="J885"/>
      <c r="K885"/>
      <c r="L885"/>
      <c r="M885"/>
      <c r="N885"/>
      <c r="O885"/>
      <c r="P885" s="35"/>
    </row>
    <row r="886" spans="2:18">
      <c r="C886" s="33" t="s">
        <v>130</v>
      </c>
    </row>
    <row r="887" spans="2:18">
      <c r="C887" s="33" t="s">
        <v>131</v>
      </c>
    </row>
    <row r="888" spans="2:18" ht="18.600000000000001">
      <c r="B888" s="182"/>
      <c r="C888" s="33" t="s">
        <v>129</v>
      </c>
    </row>
    <row r="889" spans="2:18">
      <c r="C889" s="33" t="s">
        <v>128</v>
      </c>
    </row>
    <row r="890" spans="2:18">
      <c r="C890" s="33" t="s">
        <v>133</v>
      </c>
    </row>
    <row r="891" spans="2:18" ht="11.25" customHeight="1"/>
    <row r="892" spans="2:18" ht="11.25" customHeight="1">
      <c r="H892" s="108" t="s">
        <v>978</v>
      </c>
      <c r="I892" s="40"/>
      <c r="J892" s="40"/>
      <c r="K892" s="40"/>
      <c r="L892" s="40"/>
      <c r="M892" s="35"/>
      <c r="N892" s="35"/>
      <c r="O892" s="35"/>
      <c r="P892" s="35"/>
      <c r="Q892" s="35"/>
    </row>
    <row r="893" spans="2:18" ht="11.25" customHeight="1">
      <c r="E893" s="33" t="s">
        <v>132</v>
      </c>
      <c r="H893" s="87" t="s">
        <v>817</v>
      </c>
      <c r="I893" s="108"/>
      <c r="J893" s="108"/>
      <c r="K893" s="108"/>
      <c r="L893" s="108"/>
      <c r="M893" s="35"/>
      <c r="N893" s="35"/>
      <c r="O893" s="35"/>
      <c r="P893" s="35"/>
      <c r="Q893" s="113"/>
      <c r="R893" s="114"/>
    </row>
    <row r="894" spans="2:18" ht="11.25" customHeight="1">
      <c r="H894" s="115" t="s">
        <v>1162</v>
      </c>
      <c r="I894" s="115"/>
      <c r="J894" s="115"/>
      <c r="K894" s="115"/>
      <c r="L894" s="115"/>
      <c r="M894" s="35"/>
      <c r="N894" s="35"/>
      <c r="O894" s="35"/>
      <c r="P894" s="35"/>
      <c r="Q894" s="106"/>
      <c r="R894" s="112"/>
    </row>
    <row r="895" spans="2:18">
      <c r="H895" s="115"/>
      <c r="I895" s="115"/>
      <c r="J895" s="115"/>
      <c r="K895" s="115"/>
      <c r="L895" s="115"/>
      <c r="M895" s="115"/>
      <c r="N895" s="115"/>
      <c r="O895" s="106"/>
      <c r="P895" s="106"/>
      <c r="Q895" s="106"/>
      <c r="R895" s="112"/>
    </row>
    <row r="896" spans="2:18" ht="18.600000000000001">
      <c r="B896" s="182"/>
      <c r="C896" s="391" t="s">
        <v>105</v>
      </c>
    </row>
    <row r="897" spans="2:3">
      <c r="C897" s="33" t="s">
        <v>106</v>
      </c>
    </row>
    <row r="898" spans="2:3">
      <c r="C898" s="33" t="s">
        <v>107</v>
      </c>
    </row>
    <row r="899" spans="2:3" ht="18.600000000000001">
      <c r="B899" s="182"/>
      <c r="C899" s="33" t="s">
        <v>285</v>
      </c>
    </row>
    <row r="900" spans="2:3">
      <c r="C900" s="33" t="s">
        <v>108</v>
      </c>
    </row>
    <row r="901" spans="2:3">
      <c r="C901" s="33" t="s">
        <v>109</v>
      </c>
    </row>
    <row r="902" spans="2:3" ht="18.600000000000001">
      <c r="B902" s="182"/>
      <c r="C902" s="33" t="s">
        <v>110</v>
      </c>
    </row>
    <row r="903" spans="2:3">
      <c r="C903" s="33" t="s">
        <v>113</v>
      </c>
    </row>
    <row r="904" spans="2:3">
      <c r="C904" s="33" t="s">
        <v>114</v>
      </c>
    </row>
    <row r="905" spans="2:3">
      <c r="C905" s="33" t="s">
        <v>111</v>
      </c>
    </row>
    <row r="906" spans="2:3">
      <c r="C906" s="33" t="s">
        <v>112</v>
      </c>
    </row>
    <row r="907" spans="2:3">
      <c r="C907" s="33" t="s">
        <v>115</v>
      </c>
    </row>
    <row r="908" spans="2:3">
      <c r="C908" s="98" t="s">
        <v>1235</v>
      </c>
    </row>
    <row r="909" spans="2:3">
      <c r="C909" s="33" t="s">
        <v>1230</v>
      </c>
    </row>
    <row r="910" spans="2:3">
      <c r="C910" s="33" t="s">
        <v>1231</v>
      </c>
    </row>
    <row r="911" spans="2:3">
      <c r="C911" s="33" t="s">
        <v>1232</v>
      </c>
    </row>
    <row r="912" spans="2:3">
      <c r="C912" s="33" t="s">
        <v>1233</v>
      </c>
    </row>
    <row r="913" spans="2:16">
      <c r="C913" s="33" t="s">
        <v>1234</v>
      </c>
    </row>
    <row r="916" spans="2:16" ht="18.600000000000001">
      <c r="C916" s="639" t="s">
        <v>122</v>
      </c>
      <c r="D916" s="168"/>
      <c r="E916" s="35"/>
      <c r="F916" s="640" t="s">
        <v>843</v>
      </c>
      <c r="G916"/>
      <c r="H916"/>
      <c r="I916"/>
      <c r="J916"/>
      <c r="K916"/>
      <c r="L916"/>
      <c r="M916"/>
      <c r="N916"/>
      <c r="O916"/>
      <c r="P916" s="35"/>
    </row>
    <row r="917" spans="2:16">
      <c r="C917" s="33" t="s">
        <v>1006</v>
      </c>
    </row>
    <row r="918" spans="2:16">
      <c r="C918" s="29" t="s">
        <v>604</v>
      </c>
    </row>
    <row r="919" spans="2:16">
      <c r="C919" s="29" t="s">
        <v>984</v>
      </c>
    </row>
    <row r="920" spans="2:16">
      <c r="C920" s="29" t="s">
        <v>116</v>
      </c>
      <c r="J920" s="33" t="str">
        <f>C416</f>
        <v>1.3</v>
      </c>
    </row>
    <row r="921" spans="2:16" ht="18.600000000000001">
      <c r="B921" s="182"/>
      <c r="C921" s="33" t="s">
        <v>162</v>
      </c>
    </row>
    <row r="922" spans="2:16">
      <c r="C922" s="33" t="s">
        <v>972</v>
      </c>
    </row>
    <row r="923" spans="2:16">
      <c r="C923" s="33" t="s">
        <v>608</v>
      </c>
    </row>
    <row r="924" spans="2:16">
      <c r="C924" s="33" t="s">
        <v>606</v>
      </c>
    </row>
    <row r="925" spans="2:16">
      <c r="C925" s="33" t="s">
        <v>607</v>
      </c>
      <c r="H925" s="48">
        <f>B546</f>
        <v>9</v>
      </c>
      <c r="I925" s="33" t="s">
        <v>292</v>
      </c>
    </row>
    <row r="928" spans="2:16" ht="18.600000000000001">
      <c r="C928" s="639" t="s">
        <v>123</v>
      </c>
      <c r="D928" s="168"/>
      <c r="E928" s="35"/>
      <c r="F928" s="640" t="s">
        <v>91</v>
      </c>
      <c r="G928"/>
      <c r="H928"/>
      <c r="I928"/>
      <c r="J928"/>
    </row>
    <row r="929" spans="2:19">
      <c r="B929" s="35"/>
      <c r="C929" s="1090" t="s">
        <v>1236</v>
      </c>
      <c r="D929" s="35"/>
    </row>
    <row r="930" spans="2:19">
      <c r="B930"/>
      <c r="C930" s="36" t="s">
        <v>579</v>
      </c>
      <c r="D930" s="35"/>
    </row>
    <row r="931" spans="2:19">
      <c r="B931" s="35"/>
      <c r="C931" s="1090" t="s">
        <v>1418</v>
      </c>
      <c r="D931" s="35"/>
    </row>
    <row r="932" spans="2:19">
      <c r="B932" s="35"/>
      <c r="C932" s="37" t="s">
        <v>1134</v>
      </c>
      <c r="D932" s="35"/>
    </row>
    <row r="933" spans="2:19" ht="18.600000000000001">
      <c r="B933" s="170"/>
      <c r="C933" s="1072" t="s">
        <v>1237</v>
      </c>
      <c r="D933" s="35"/>
    </row>
    <row r="934" spans="2:19">
      <c r="B934" s="35"/>
      <c r="C934" s="37" t="s">
        <v>973</v>
      </c>
    </row>
    <row r="935" spans="2:19">
      <c r="B935" s="35"/>
      <c r="C935" s="1072" t="s">
        <v>1411</v>
      </c>
    </row>
    <row r="936" spans="2:19">
      <c r="B936" s="35"/>
      <c r="C936" s="1072" t="s">
        <v>1412</v>
      </c>
      <c r="L936" s="1235" t="s">
        <v>1131</v>
      </c>
      <c r="N936" s="1239" t="s">
        <v>1415</v>
      </c>
      <c r="O936" s="1240"/>
      <c r="P936" s="1240"/>
      <c r="Q936" s="1241">
        <f ca="1">YEAR(TODAY())</f>
        <v>2021</v>
      </c>
    </row>
    <row r="937" spans="2:19">
      <c r="B937" s="35"/>
      <c r="D937" s="35"/>
      <c r="J937" s="180" t="s">
        <v>1416</v>
      </c>
      <c r="L937" s="1242" t="s">
        <v>1414</v>
      </c>
      <c r="M937" s="1235" t="s">
        <v>1413</v>
      </c>
      <c r="N937" s="577" t="s">
        <v>1410</v>
      </c>
      <c r="O937" s="578"/>
      <c r="P937" s="577" t="s">
        <v>38</v>
      </c>
      <c r="Q937" s="578"/>
    </row>
    <row r="938" spans="2:19">
      <c r="B938" s="35"/>
      <c r="C938" s="37"/>
      <c r="D938" s="1071"/>
      <c r="J938" s="1244" t="s">
        <v>1417</v>
      </c>
      <c r="K938" s="1245">
        <v>2.4E-2</v>
      </c>
      <c r="L938" s="1243">
        <v>2009</v>
      </c>
      <c r="M938" s="1243" t="s">
        <v>403</v>
      </c>
      <c r="N938" s="579" t="s">
        <v>39</v>
      </c>
      <c r="O938" s="580" t="s">
        <v>40</v>
      </c>
      <c r="P938" s="579" t="s">
        <v>39</v>
      </c>
      <c r="Q938" s="580" t="s">
        <v>40</v>
      </c>
      <c r="R938" s="179">
        <f>SUM(N945:N947)</f>
        <v>6.25E-2</v>
      </c>
      <c r="S938" s="33" t="s">
        <v>567</v>
      </c>
    </row>
    <row r="939" spans="2:19">
      <c r="B939" s="35"/>
      <c r="C939" s="37"/>
      <c r="D939" s="587" t="s">
        <v>1295</v>
      </c>
      <c r="E939" s="588"/>
      <c r="F939" s="588"/>
      <c r="G939" s="588"/>
      <c r="H939" s="588"/>
      <c r="I939" s="588"/>
      <c r="J939" s="588"/>
      <c r="K939" s="588" t="s">
        <v>41</v>
      </c>
      <c r="L939" s="587">
        <v>206.31</v>
      </c>
      <c r="M939" s="1236">
        <f ca="1">(1+$K$938)^($Q$936-$L$938-1)</f>
        <v>1.298074214633707</v>
      </c>
      <c r="N939" s="581">
        <f ca="1">ROUND(L939*M939,0)</f>
        <v>268</v>
      </c>
      <c r="O939" s="582">
        <f ca="1">ROUND(N939*(1+$R$939),0)</f>
        <v>319</v>
      </c>
      <c r="P939" s="1138">
        <f t="shared" ref="P939:Q941" ca="1" si="6">N939*$R$938</f>
        <v>16.75</v>
      </c>
      <c r="Q939" s="1143">
        <f t="shared" ca="1" si="6"/>
        <v>19.9375</v>
      </c>
      <c r="R939" s="146">
        <v>0.19</v>
      </c>
      <c r="S939" s="33" t="s">
        <v>37</v>
      </c>
    </row>
    <row r="940" spans="2:19">
      <c r="B940" s="35"/>
      <c r="C940" s="37" t="s">
        <v>92</v>
      </c>
      <c r="D940" s="589" t="s">
        <v>1408</v>
      </c>
      <c r="E940" s="218"/>
      <c r="F940" s="218"/>
      <c r="G940" s="218"/>
      <c r="H940" s="218"/>
      <c r="I940" s="218"/>
      <c r="J940" s="218"/>
      <c r="K940" s="218" t="s">
        <v>41</v>
      </c>
      <c r="L940" s="589">
        <v>201.34</v>
      </c>
      <c r="M940" s="1237">
        <f ca="1">(1+$K$938)^($Q$936-$L$938-1)</f>
        <v>1.298074214633707</v>
      </c>
      <c r="N940" s="583">
        <f ca="1">ROUND(L940*M940,0)</f>
        <v>261</v>
      </c>
      <c r="O940" s="584">
        <f ca="1">ROUND(N940*(1+$R$939),0)</f>
        <v>311</v>
      </c>
      <c r="P940" s="1139">
        <f t="shared" ca="1" si="6"/>
        <v>16.3125</v>
      </c>
      <c r="Q940" s="1144">
        <f t="shared" ca="1" si="6"/>
        <v>19.4375</v>
      </c>
      <c r="R940" s="98"/>
    </row>
    <row r="941" spans="2:19">
      <c r="B941" s="35"/>
      <c r="C941" s="37"/>
      <c r="D941" s="590" t="s">
        <v>1409</v>
      </c>
      <c r="E941" s="551"/>
      <c r="F941" s="551"/>
      <c r="G941" s="551"/>
      <c r="H941" s="551"/>
      <c r="I941" s="551"/>
      <c r="J941" s="551"/>
      <c r="K941" s="551" t="s">
        <v>41</v>
      </c>
      <c r="L941" s="590">
        <v>220.09</v>
      </c>
      <c r="M941" s="1238">
        <f ca="1">(1+$K$938)^($Q$936-$L$938-1)</f>
        <v>1.298074214633707</v>
      </c>
      <c r="N941" s="585">
        <f ca="1">ROUND(L941*M941,0)</f>
        <v>286</v>
      </c>
      <c r="O941" s="586">
        <f ca="1">ROUND(N941*(1+$R$939),0)</f>
        <v>340</v>
      </c>
      <c r="P941" s="1140">
        <f t="shared" ca="1" si="6"/>
        <v>17.875</v>
      </c>
      <c r="Q941" s="1145">
        <f t="shared" ca="1" si="6"/>
        <v>21.25</v>
      </c>
    </row>
    <row r="942" spans="2:19">
      <c r="B942" s="35"/>
      <c r="C942" s="37"/>
      <c r="D942" s="35"/>
      <c r="Q942" s="1246" t="s">
        <v>1260</v>
      </c>
    </row>
    <row r="943" spans="2:19">
      <c r="B943" s="35"/>
      <c r="C943" s="37" t="s">
        <v>185</v>
      </c>
      <c r="D943" s="35"/>
    </row>
    <row r="944" spans="2:19">
      <c r="B944" s="35"/>
      <c r="C944" s="1072" t="s">
        <v>1261</v>
      </c>
      <c r="D944" s="35"/>
    </row>
    <row r="945" spans="2:17" ht="18.600000000000001">
      <c r="B945" s="170"/>
      <c r="C945" s="37"/>
      <c r="D945" s="35"/>
      <c r="E945" s="33" t="s">
        <v>812</v>
      </c>
      <c r="H945" s="33" t="s">
        <v>570</v>
      </c>
      <c r="M945" s="1142" t="s">
        <v>63</v>
      </c>
      <c r="N945" s="179">
        <f>1/25</f>
        <v>0.04</v>
      </c>
      <c r="O945" s="33" t="s">
        <v>569</v>
      </c>
    </row>
    <row r="946" spans="2:17">
      <c r="B946" s="35"/>
      <c r="C946" s="37"/>
      <c r="D946" s="35"/>
      <c r="E946" s="33" t="s">
        <v>568</v>
      </c>
      <c r="H946" s="98" t="s">
        <v>1262</v>
      </c>
      <c r="M946" s="1142" t="s">
        <v>63</v>
      </c>
      <c r="N946" s="179">
        <f>3%/2</f>
        <v>1.4999999999999999E-2</v>
      </c>
      <c r="O946" s="33" t="s">
        <v>569</v>
      </c>
    </row>
    <row r="947" spans="2:17">
      <c r="B947" s="35"/>
      <c r="C947" s="37"/>
      <c r="D947" s="35"/>
      <c r="E947" s="98" t="s">
        <v>1263</v>
      </c>
      <c r="H947" s="33" t="s">
        <v>583</v>
      </c>
      <c r="M947" s="1142" t="s">
        <v>63</v>
      </c>
      <c r="N947" s="179">
        <v>7.4999999999999997E-3</v>
      </c>
      <c r="O947" s="33" t="s">
        <v>569</v>
      </c>
    </row>
    <row r="948" spans="2:17">
      <c r="B948" s="35"/>
      <c r="C948" s="37"/>
      <c r="D948" s="35"/>
      <c r="N948" s="1141"/>
    </row>
    <row r="949" spans="2:17">
      <c r="B949" s="35"/>
      <c r="C949" s="1072" t="s">
        <v>1264</v>
      </c>
      <c r="D949" s="35"/>
      <c r="L949" s="1065" t="s">
        <v>178</v>
      </c>
      <c r="N949" s="1066" t="s">
        <v>181</v>
      </c>
      <c r="O949" s="60"/>
      <c r="P949" s="60"/>
      <c r="Q949" s="60"/>
    </row>
    <row r="950" spans="2:17">
      <c r="B950" s="35"/>
      <c r="C950" s="37"/>
      <c r="D950" s="98" t="s">
        <v>1265</v>
      </c>
      <c r="L950" s="522">
        <f>5*2.4</f>
        <v>12</v>
      </c>
      <c r="M950" s="33" t="s">
        <v>180</v>
      </c>
      <c r="N950" s="522">
        <f ca="1">$P$940</f>
        <v>16.3125</v>
      </c>
      <c r="O950" s="33" t="s">
        <v>179</v>
      </c>
      <c r="P950" s="33">
        <f ca="1">L950*N950</f>
        <v>195.75</v>
      </c>
      <c r="Q950" s="33" t="s">
        <v>354</v>
      </c>
    </row>
    <row r="951" spans="2:17">
      <c r="B951" s="35"/>
      <c r="C951" s="37"/>
      <c r="D951" s="1071" t="s">
        <v>1292</v>
      </c>
      <c r="L951" s="522">
        <f>4.9*2.3</f>
        <v>11.27</v>
      </c>
      <c r="M951" s="33" t="s">
        <v>180</v>
      </c>
      <c r="N951" s="522">
        <f ca="1">$P$940</f>
        <v>16.3125</v>
      </c>
      <c r="O951" s="33" t="s">
        <v>179</v>
      </c>
      <c r="P951" s="33">
        <f ca="1">L951*N951</f>
        <v>183.84187499999999</v>
      </c>
      <c r="Q951" s="33" t="s">
        <v>354</v>
      </c>
    </row>
    <row r="952" spans="2:17">
      <c r="B952" s="35"/>
      <c r="C952" s="37"/>
      <c r="D952" s="1071" t="s">
        <v>1266</v>
      </c>
      <c r="L952" s="522">
        <f>6.2*2.4</f>
        <v>14.879999999999999</v>
      </c>
      <c r="M952" s="33" t="s">
        <v>180</v>
      </c>
      <c r="N952" s="522">
        <f ca="1">$P$940</f>
        <v>16.3125</v>
      </c>
      <c r="O952" s="33" t="s">
        <v>179</v>
      </c>
      <c r="P952" s="33">
        <f ca="1">L952*N952</f>
        <v>242.73</v>
      </c>
      <c r="Q952" s="33" t="s">
        <v>354</v>
      </c>
    </row>
    <row r="953" spans="2:17" ht="18.600000000000001">
      <c r="B953" s="170"/>
      <c r="C953" s="37" t="s">
        <v>571</v>
      </c>
      <c r="D953" s="35"/>
    </row>
    <row r="954" spans="2:17">
      <c r="B954" s="35"/>
      <c r="C954" s="37" t="s">
        <v>572</v>
      </c>
      <c r="D954" s="35"/>
    </row>
    <row r="955" spans="2:17">
      <c r="B955" s="35"/>
      <c r="C955" s="37"/>
      <c r="D955" s="35"/>
    </row>
    <row r="956" spans="2:17">
      <c r="B956" s="35"/>
      <c r="C956" s="37"/>
      <c r="D956" s="35"/>
    </row>
    <row r="957" spans="2:17" ht="18.600000000000001">
      <c r="C957" s="639" t="s">
        <v>124</v>
      </c>
      <c r="D957" s="168"/>
      <c r="E957" s="35"/>
      <c r="F957" s="640" t="s">
        <v>595</v>
      </c>
      <c r="G957"/>
      <c r="H957"/>
      <c r="I957"/>
      <c r="J957"/>
    </row>
    <row r="958" spans="2:17">
      <c r="B958" s="35"/>
      <c r="C958" s="37" t="s">
        <v>312</v>
      </c>
      <c r="D958" s="35"/>
      <c r="G958" s="37" t="s">
        <v>318</v>
      </c>
    </row>
    <row r="959" spans="2:17">
      <c r="B959" s="35"/>
      <c r="D959" s="35"/>
      <c r="G959" s="36" t="s">
        <v>319</v>
      </c>
    </row>
    <row r="960" spans="2:17">
      <c r="B960" s="35"/>
      <c r="D960" s="35"/>
      <c r="G960" s="1072" t="s">
        <v>1276</v>
      </c>
    </row>
    <row r="961" spans="2:17" ht="18.600000000000001">
      <c r="B961" s="170"/>
      <c r="D961" s="35"/>
      <c r="G961" s="57" t="s">
        <v>574</v>
      </c>
      <c r="H961" s="98" t="s">
        <v>1267</v>
      </c>
    </row>
    <row r="962" spans="2:17">
      <c r="B962" s="57"/>
      <c r="C962" s="57"/>
      <c r="D962" s="57"/>
      <c r="E962" s="57"/>
      <c r="F962" s="57"/>
      <c r="G962" s="57"/>
      <c r="H962" s="98" t="s">
        <v>1269</v>
      </c>
      <c r="I962" s="33">
        <v>5</v>
      </c>
      <c r="J962" s="98" t="s">
        <v>1268</v>
      </c>
      <c r="M962" s="98" t="s">
        <v>1275</v>
      </c>
    </row>
    <row r="963" spans="2:17">
      <c r="B963" s="35"/>
      <c r="D963" s="35"/>
      <c r="G963" s="56"/>
      <c r="H963" s="98" t="s">
        <v>1272</v>
      </c>
      <c r="I963" s="33">
        <v>7</v>
      </c>
      <c r="J963" s="98" t="s">
        <v>1268</v>
      </c>
      <c r="M963" s="98" t="s">
        <v>1270</v>
      </c>
    </row>
    <row r="964" spans="2:17" ht="18.600000000000001">
      <c r="B964" s="170"/>
      <c r="D964" s="35"/>
      <c r="G964" s="57" t="s">
        <v>574</v>
      </c>
      <c r="H964" s="98" t="s">
        <v>1271</v>
      </c>
    </row>
    <row r="965" spans="2:17">
      <c r="B965" s="35"/>
      <c r="D965" s="35"/>
      <c r="G965" s="36"/>
      <c r="H965" s="98" t="s">
        <v>575</v>
      </c>
      <c r="I965" s="33">
        <v>17</v>
      </c>
      <c r="J965" s="98" t="s">
        <v>1268</v>
      </c>
      <c r="M965" s="98" t="s">
        <v>1273</v>
      </c>
    </row>
    <row r="966" spans="2:17">
      <c r="B966" s="35"/>
      <c r="D966" s="35"/>
      <c r="G966" s="36"/>
      <c r="H966" s="98" t="s">
        <v>575</v>
      </c>
      <c r="I966" s="33">
        <v>13.5</v>
      </c>
      <c r="J966" s="98" t="s">
        <v>1268</v>
      </c>
      <c r="M966" s="98" t="s">
        <v>1274</v>
      </c>
    </row>
    <row r="967" spans="2:17" ht="18.600000000000001">
      <c r="B967" s="170"/>
      <c r="D967" s="35"/>
      <c r="G967" s="37" t="s">
        <v>577</v>
      </c>
    </row>
    <row r="968" spans="2:17">
      <c r="B968" s="35"/>
      <c r="D968" s="35"/>
      <c r="G968" s="37" t="s">
        <v>586</v>
      </c>
    </row>
    <row r="969" spans="2:17">
      <c r="B969" s="35"/>
      <c r="D969" s="35"/>
      <c r="G969" s="1072" t="s">
        <v>1281</v>
      </c>
    </row>
    <row r="970" spans="2:17">
      <c r="B970" s="35"/>
      <c r="D970" s="35"/>
      <c r="G970" s="37" t="s">
        <v>580</v>
      </c>
    </row>
    <row r="971" spans="2:17">
      <c r="B971" s="35"/>
      <c r="D971" s="35"/>
      <c r="G971" s="57" t="s">
        <v>574</v>
      </c>
      <c r="H971" s="98" t="s">
        <v>1277</v>
      </c>
      <c r="K971" s="145" t="s">
        <v>575</v>
      </c>
      <c r="L971" s="179">
        <v>6.0000000000000001E-3</v>
      </c>
      <c r="M971" s="33" t="s">
        <v>576</v>
      </c>
      <c r="Q971" s="180" t="s">
        <v>1419</v>
      </c>
    </row>
    <row r="972" spans="2:17">
      <c r="B972" s="35"/>
      <c r="D972" s="35"/>
      <c r="G972" s="57" t="s">
        <v>574</v>
      </c>
      <c r="H972" s="33" t="s">
        <v>578</v>
      </c>
      <c r="K972" s="145" t="s">
        <v>575</v>
      </c>
      <c r="L972" s="179">
        <v>3.5000000000000001E-3</v>
      </c>
      <c r="M972" s="33" t="s">
        <v>576</v>
      </c>
      <c r="Q972" s="180" t="s">
        <v>1279</v>
      </c>
    </row>
    <row r="973" spans="2:17">
      <c r="B973" s="35"/>
      <c r="D973" s="35"/>
      <c r="G973" s="57" t="s">
        <v>574</v>
      </c>
      <c r="H973" s="98" t="s">
        <v>1271</v>
      </c>
      <c r="K973" s="145" t="s">
        <v>575</v>
      </c>
      <c r="L973" s="179">
        <v>3.5000000000000003E-2</v>
      </c>
      <c r="M973" s="33" t="s">
        <v>576</v>
      </c>
      <c r="Q973" s="180" t="s">
        <v>1280</v>
      </c>
    </row>
    <row r="974" spans="2:17">
      <c r="B974" s="35"/>
      <c r="D974" s="35"/>
      <c r="G974" s="37"/>
    </row>
    <row r="975" spans="2:17">
      <c r="B975" s="35"/>
      <c r="C975" s="33" t="s">
        <v>313</v>
      </c>
      <c r="D975" s="35"/>
      <c r="G975" s="85" t="s">
        <v>314</v>
      </c>
    </row>
    <row r="976" spans="2:17">
      <c r="B976" s="35"/>
      <c r="D976" s="35"/>
      <c r="G976" s="37" t="s">
        <v>1</v>
      </c>
    </row>
    <row r="977" spans="2:19">
      <c r="B977" s="35"/>
      <c r="C977" s="37"/>
      <c r="D977" s="35"/>
      <c r="G977" s="36" t="s">
        <v>315</v>
      </c>
    </row>
    <row r="978" spans="2:19">
      <c r="B978" s="35"/>
      <c r="C978" s="37"/>
      <c r="D978" s="35"/>
      <c r="G978" s="1072" t="s">
        <v>1293</v>
      </c>
    </row>
    <row r="979" spans="2:19">
      <c r="B979" s="35"/>
      <c r="C979" s="37"/>
      <c r="D979" s="35"/>
      <c r="G979" s="1090" t="s">
        <v>1294</v>
      </c>
    </row>
    <row r="980" spans="2:19">
      <c r="B980" s="35"/>
      <c r="C980" s="37"/>
      <c r="D980" s="35"/>
      <c r="G980" s="1090" t="s">
        <v>1278</v>
      </c>
    </row>
    <row r="981" spans="2:19">
      <c r="B981" s="35"/>
      <c r="C981" s="37"/>
      <c r="D981" s="35"/>
      <c r="G981" s="1090"/>
    </row>
    <row r="982" spans="2:19">
      <c r="B982" s="35"/>
      <c r="C982" s="1049" t="s">
        <v>316</v>
      </c>
      <c r="D982" s="35"/>
      <c r="G982" s="1050" t="s">
        <v>296</v>
      </c>
    </row>
    <row r="983" spans="2:19" ht="12" customHeight="1">
      <c r="B983" s="35"/>
      <c r="C983" s="37"/>
      <c r="D983" s="35"/>
      <c r="G983" s="587" t="s">
        <v>299</v>
      </c>
      <c r="H983" s="588"/>
      <c r="I983" s="587" t="s">
        <v>301</v>
      </c>
      <c r="J983" s="588"/>
      <c r="K983" s="588"/>
      <c r="L983" s="587" t="s">
        <v>303</v>
      </c>
      <c r="M983" s="588"/>
      <c r="N983" s="1043"/>
      <c r="O983" s="192" t="s">
        <v>307</v>
      </c>
      <c r="P983" s="192"/>
      <c r="Q983" s="192"/>
    </row>
    <row r="984" spans="2:19" ht="12" customHeight="1">
      <c r="B984" s="35"/>
      <c r="C984" s="37"/>
      <c r="D984" s="35"/>
      <c r="G984" s="590" t="s">
        <v>300</v>
      </c>
      <c r="H984" s="551"/>
      <c r="I984" s="1051" t="s">
        <v>306</v>
      </c>
      <c r="J984" s="551" t="s">
        <v>302</v>
      </c>
      <c r="K984" s="551"/>
      <c r="L984" s="1051" t="s">
        <v>306</v>
      </c>
      <c r="M984" s="551" t="s">
        <v>302</v>
      </c>
      <c r="N984" s="1044"/>
      <c r="P984" s="192"/>
      <c r="Q984" s="192"/>
    </row>
    <row r="985" spans="2:19" ht="12" customHeight="1">
      <c r="B985" s="35"/>
      <c r="C985" s="37"/>
      <c r="D985" s="35"/>
      <c r="G985" s="589" t="s">
        <v>311</v>
      </c>
      <c r="H985" s="218"/>
      <c r="I985" s="1042">
        <v>24</v>
      </c>
      <c r="J985" s="218">
        <v>36</v>
      </c>
      <c r="K985" s="218"/>
      <c r="L985" s="589"/>
      <c r="M985" s="218">
        <v>25</v>
      </c>
      <c r="N985" s="1045"/>
      <c r="O985" s="192" t="s">
        <v>308</v>
      </c>
      <c r="P985" s="192"/>
      <c r="Q985" s="192"/>
      <c r="S985" s="37"/>
    </row>
    <row r="986" spans="2:19" ht="12" customHeight="1">
      <c r="B986" s="35"/>
      <c r="C986" s="37"/>
      <c r="D986" s="35"/>
      <c r="G986" s="1046" t="s">
        <v>297</v>
      </c>
      <c r="H986" s="218"/>
      <c r="I986" s="1042">
        <v>12</v>
      </c>
      <c r="J986" s="218">
        <v>54</v>
      </c>
      <c r="K986" s="218"/>
      <c r="L986" s="589"/>
      <c r="M986" s="218">
        <v>45</v>
      </c>
      <c r="N986" s="1045"/>
      <c r="O986" s="192" t="s">
        <v>304</v>
      </c>
      <c r="P986" s="192"/>
      <c r="Q986" s="192"/>
    </row>
    <row r="987" spans="2:19" ht="12" customHeight="1">
      <c r="B987" s="35"/>
      <c r="C987" s="37"/>
      <c r="D987" s="35"/>
      <c r="G987" s="1046" t="s">
        <v>298</v>
      </c>
      <c r="H987" s="218"/>
      <c r="I987" s="1042">
        <v>12</v>
      </c>
      <c r="J987" s="218">
        <v>68</v>
      </c>
      <c r="K987" s="218"/>
      <c r="L987" s="1042" t="s">
        <v>310</v>
      </c>
      <c r="M987" s="218">
        <v>55</v>
      </c>
      <c r="N987" s="1045"/>
      <c r="O987" s="192" t="s">
        <v>305</v>
      </c>
      <c r="P987" s="192"/>
      <c r="Q987" s="192"/>
    </row>
    <row r="988" spans="2:19" ht="12" customHeight="1">
      <c r="B988" s="35"/>
      <c r="C988" s="37"/>
      <c r="D988" s="35"/>
      <c r="G988" s="1046" t="s">
        <v>293</v>
      </c>
      <c r="H988" s="218"/>
      <c r="I988" s="1042">
        <v>12</v>
      </c>
      <c r="J988" s="218">
        <v>74</v>
      </c>
      <c r="K988" s="218"/>
      <c r="L988" s="1042">
        <v>6</v>
      </c>
      <c r="M988" s="218">
        <v>60</v>
      </c>
      <c r="N988" s="1045"/>
      <c r="O988" s="192"/>
      <c r="P988" s="192"/>
      <c r="Q988" s="192"/>
    </row>
    <row r="989" spans="2:19" ht="12" customHeight="1">
      <c r="B989" s="35"/>
      <c r="C989" s="37"/>
      <c r="D989" s="35"/>
      <c r="G989" s="1046" t="s">
        <v>294</v>
      </c>
      <c r="H989" s="218"/>
      <c r="I989" s="1042">
        <v>12</v>
      </c>
      <c r="J989" s="218">
        <v>82</v>
      </c>
      <c r="K989" s="218"/>
      <c r="L989" s="1042">
        <v>6</v>
      </c>
      <c r="M989" s="218">
        <v>70</v>
      </c>
      <c r="N989" s="1045"/>
      <c r="O989" s="192" t="s">
        <v>309</v>
      </c>
      <c r="P989" s="192"/>
      <c r="Q989" s="192"/>
    </row>
    <row r="990" spans="2:19" ht="12" customHeight="1">
      <c r="B990" s="35"/>
      <c r="C990" s="37"/>
      <c r="D990" s="35"/>
      <c r="G990" s="1047" t="s">
        <v>295</v>
      </c>
      <c r="H990" s="551"/>
      <c r="I990" s="1048">
        <v>12</v>
      </c>
      <c r="J990" s="551">
        <v>96</v>
      </c>
      <c r="K990" s="551"/>
      <c r="L990" s="1048">
        <v>6</v>
      </c>
      <c r="M990" s="551">
        <v>80</v>
      </c>
      <c r="N990" s="1044"/>
      <c r="O990" s="192"/>
      <c r="P990" s="192"/>
      <c r="Q990" s="192"/>
    </row>
    <row r="991" spans="2:19">
      <c r="B991" s="35"/>
      <c r="C991" s="37"/>
      <c r="D991" s="35"/>
      <c r="G991" s="1052" t="s">
        <v>1282</v>
      </c>
    </row>
    <row r="992" spans="2:19">
      <c r="B992" s="35"/>
      <c r="G992" s="36" t="s">
        <v>317</v>
      </c>
    </row>
    <row r="993" spans="2:21">
      <c r="B993" s="35"/>
      <c r="G993" s="98" t="s">
        <v>1296</v>
      </c>
    </row>
    <row r="994" spans="2:21">
      <c r="B994" s="35"/>
      <c r="G994" s="1072"/>
    </row>
    <row r="995" spans="2:21">
      <c r="B995" s="35"/>
      <c r="C995" s="37"/>
      <c r="D995" s="35"/>
    </row>
    <row r="996" spans="2:21" ht="18.600000000000001">
      <c r="C996" s="639" t="s">
        <v>125</v>
      </c>
      <c r="D996" s="168"/>
      <c r="E996" s="35"/>
      <c r="F996" s="640" t="s">
        <v>581</v>
      </c>
      <c r="G996"/>
      <c r="H996"/>
      <c r="I996"/>
      <c r="J996"/>
    </row>
    <row r="997" spans="2:21">
      <c r="B997" s="35"/>
      <c r="C997" s="37" t="s">
        <v>585</v>
      </c>
      <c r="D997" s="35"/>
    </row>
    <row r="998" spans="2:21">
      <c r="C998" s="33" t="s">
        <v>582</v>
      </c>
    </row>
    <row r="999" spans="2:21">
      <c r="C999" s="33" t="s">
        <v>584</v>
      </c>
    </row>
    <row r="1000" spans="2:21" ht="18.600000000000001">
      <c r="B1000" s="182"/>
      <c r="D1000" s="33" t="s">
        <v>812</v>
      </c>
      <c r="H1000" s="33" t="s">
        <v>161</v>
      </c>
      <c r="N1000" s="392" t="s">
        <v>1136</v>
      </c>
      <c r="P1000" s="520" t="s">
        <v>447</v>
      </c>
      <c r="Q1000" s="33" t="s">
        <v>1165</v>
      </c>
    </row>
    <row r="1001" spans="2:21">
      <c r="D1001" s="33" t="s">
        <v>568</v>
      </c>
      <c r="H1001" s="98" t="s">
        <v>1283</v>
      </c>
      <c r="N1001" s="392" t="s">
        <v>1136</v>
      </c>
      <c r="P1001" s="1146" t="s">
        <v>1284</v>
      </c>
      <c r="Q1001" s="33" t="s">
        <v>1165</v>
      </c>
    </row>
    <row r="1002" spans="2:21">
      <c r="D1002" s="98" t="s">
        <v>1424</v>
      </c>
      <c r="N1002" s="392" t="s">
        <v>1136</v>
      </c>
      <c r="P1002" s="172">
        <v>0.01</v>
      </c>
      <c r="Q1002" s="33" t="s">
        <v>1165</v>
      </c>
    </row>
    <row r="1003" spans="2:21" ht="18.600000000000001">
      <c r="B1003" s="170"/>
      <c r="C1003" s="37"/>
      <c r="D1003" s="5" t="s">
        <v>446</v>
      </c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521" t="s">
        <v>1420</v>
      </c>
      <c r="Q1003" s="6" t="s">
        <v>1165</v>
      </c>
    </row>
    <row r="1004" spans="2:21">
      <c r="B1004" s="35"/>
      <c r="C1004" s="37"/>
      <c r="D1004" s="35"/>
    </row>
    <row r="1005" spans="2:21">
      <c r="B1005" s="35"/>
      <c r="C1005" s="37"/>
      <c r="D1005" s="35"/>
    </row>
    <row r="1006" spans="2:21">
      <c r="B1006" s="35"/>
      <c r="C1006" s="37"/>
      <c r="D1006" s="35"/>
    </row>
    <row r="1007" spans="2:21" ht="20.399999999999999">
      <c r="C1007" s="169" t="s">
        <v>136</v>
      </c>
      <c r="D1007" s="76"/>
      <c r="E1007"/>
      <c r="F1007" s="70" t="s">
        <v>1176</v>
      </c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</row>
    <row r="1008" spans="2:21" ht="18.600000000000001">
      <c r="C1008" s="639" t="s">
        <v>137</v>
      </c>
      <c r="D1008" s="168"/>
      <c r="E1008" s="35"/>
      <c r="F1008" s="640" t="s">
        <v>1041</v>
      </c>
      <c r="G1008"/>
      <c r="H1008"/>
      <c r="I1008"/>
      <c r="J1008"/>
    </row>
    <row r="1009" spans="2:22">
      <c r="C1009" s="36" t="s">
        <v>1135</v>
      </c>
      <c r="D1009" s="35"/>
      <c r="E1009" s="35"/>
      <c r="F1009" s="35"/>
      <c r="G1009" s="35"/>
      <c r="H1009" s="35"/>
      <c r="I1009" s="35"/>
      <c r="J1009" s="35"/>
      <c r="K1009" s="35"/>
      <c r="L1009" s="35"/>
      <c r="M1009" s="35"/>
      <c r="T1009" s="643"/>
    </row>
    <row r="1010" spans="2:22">
      <c r="C1010" s="37" t="s">
        <v>134</v>
      </c>
      <c r="D1010" s="35"/>
      <c r="E1010" s="35"/>
      <c r="F1010" s="35"/>
      <c r="G1010" s="35"/>
      <c r="H1010" s="35"/>
      <c r="I1010" s="35"/>
      <c r="J1010" s="35"/>
      <c r="K1010" s="35"/>
      <c r="L1010" s="35"/>
      <c r="M1010" s="35"/>
    </row>
    <row r="1011" spans="2:22" ht="10.5" customHeight="1">
      <c r="C1011" s="37"/>
      <c r="D1011" s="35"/>
      <c r="E1011" s="35"/>
      <c r="F1011" s="35"/>
      <c r="G1011" s="35"/>
      <c r="H1011" s="35"/>
      <c r="I1011" s="35"/>
      <c r="J1011" s="35"/>
      <c r="K1011" s="35"/>
      <c r="L1011" s="35"/>
      <c r="M1011" s="35"/>
    </row>
    <row r="1012" spans="2:22" ht="10.5" customHeight="1">
      <c r="C1012" s="37"/>
      <c r="K1012" s="108" t="s">
        <v>978</v>
      </c>
      <c r="L1012" s="40"/>
      <c r="M1012" s="40"/>
      <c r="N1012" s="40"/>
      <c r="O1012" s="40"/>
      <c r="P1012" s="40"/>
    </row>
    <row r="1013" spans="2:22" ht="10.5" customHeight="1">
      <c r="C1013"/>
      <c r="E1013" s="33" t="s">
        <v>135</v>
      </c>
      <c r="K1013" s="87" t="s">
        <v>817</v>
      </c>
      <c r="L1013" s="108"/>
      <c r="M1013" s="108"/>
      <c r="N1013" s="108"/>
      <c r="O1013" s="108"/>
      <c r="P1013" s="108"/>
      <c r="Q1013" s="114"/>
      <c r="R1013" s="114"/>
      <c r="S1013" s="114"/>
      <c r="T1013" s="114"/>
      <c r="U1013" s="29"/>
      <c r="V1013" s="29"/>
    </row>
    <row r="1014" spans="2:22" ht="10.5" customHeight="1">
      <c r="C1014"/>
      <c r="K1014" s="115" t="s">
        <v>818</v>
      </c>
      <c r="L1014" s="115"/>
      <c r="M1014" s="115"/>
      <c r="N1014" s="115"/>
      <c r="O1014" s="115"/>
      <c r="P1014" s="115"/>
      <c r="Q1014" s="112"/>
      <c r="R1014" s="112"/>
      <c r="S1014" s="112"/>
      <c r="T1014" s="112"/>
    </row>
    <row r="1015" spans="2:22">
      <c r="C1015" s="144"/>
      <c r="D1015" s="198"/>
      <c r="E1015" s="198"/>
      <c r="F1015" s="198"/>
      <c r="G1015" s="198"/>
      <c r="H1015" s="35"/>
      <c r="I1015" s="35"/>
      <c r="J1015" s="35"/>
      <c r="K1015" s="35"/>
      <c r="L1015" s="35"/>
      <c r="M1015" s="35"/>
    </row>
    <row r="1016" spans="2:22">
      <c r="C1016" s="144"/>
      <c r="D1016" s="198"/>
      <c r="E1016" s="198"/>
      <c r="F1016" s="198"/>
      <c r="G1016" s="198"/>
      <c r="H1016" s="35"/>
      <c r="I1016" s="35"/>
      <c r="J1016" s="35"/>
      <c r="K1016" s="35"/>
      <c r="L1016" s="35"/>
      <c r="M1016" s="35"/>
    </row>
    <row r="1017" spans="2:22" ht="18.600000000000001">
      <c r="C1017" s="639" t="s">
        <v>138</v>
      </c>
      <c r="D1017" s="168"/>
      <c r="E1017" s="35"/>
      <c r="F1017" s="640" t="s">
        <v>93</v>
      </c>
      <c r="G1017"/>
      <c r="H1017"/>
      <c r="I1017"/>
      <c r="J1017"/>
      <c r="T1017" s="431"/>
    </row>
    <row r="1018" spans="2:22">
      <c r="C1018" s="36" t="s">
        <v>69</v>
      </c>
      <c r="D1018" s="35"/>
      <c r="E1018"/>
      <c r="F1018"/>
      <c r="G1018"/>
      <c r="H1018"/>
      <c r="I1018"/>
      <c r="J1018"/>
      <c r="K1018" s="35"/>
      <c r="L1018" s="35"/>
      <c r="T1018" s="431"/>
    </row>
    <row r="1019" spans="2:22">
      <c r="C1019" s="36" t="s">
        <v>68</v>
      </c>
      <c r="D1019" s="35"/>
      <c r="E1019"/>
      <c r="F1019"/>
      <c r="G1019"/>
      <c r="H1019"/>
      <c r="I1019"/>
      <c r="J1019"/>
      <c r="K1019" s="35"/>
      <c r="L1019" s="35"/>
    </row>
    <row r="1020" spans="2:22" ht="18.600000000000001">
      <c r="B1020" s="89"/>
      <c r="C1020" s="139" t="s">
        <v>985</v>
      </c>
      <c r="D1020" s="35"/>
      <c r="E1020" s="35"/>
      <c r="F1020" s="35"/>
      <c r="G1020" s="35"/>
      <c r="H1020" s="35"/>
      <c r="I1020" s="35"/>
      <c r="J1020" s="35"/>
      <c r="K1020" s="35"/>
      <c r="L1020" s="35"/>
      <c r="M1020" s="35"/>
      <c r="N1020" s="35"/>
      <c r="O1020" s="35"/>
      <c r="P1020" s="35"/>
      <c r="Q1020" s="35"/>
      <c r="R1020" s="35"/>
    </row>
    <row r="1021" spans="2:22">
      <c r="C1021" s="37" t="s">
        <v>986</v>
      </c>
      <c r="D1021"/>
      <c r="E1021" s="35"/>
      <c r="F1021" s="35"/>
      <c r="G1021" s="35"/>
      <c r="H1021" s="35"/>
      <c r="I1021" s="35"/>
      <c r="J1021" s="35"/>
      <c r="K1021" s="35"/>
      <c r="L1021" s="35"/>
      <c r="M1021" s="35"/>
      <c r="N1021" s="35"/>
      <c r="O1021" s="35"/>
      <c r="P1021" s="35"/>
      <c r="Q1021" s="35"/>
      <c r="R1021" s="35"/>
    </row>
    <row r="1022" spans="2:22">
      <c r="C1022" s="35" t="s">
        <v>987</v>
      </c>
      <c r="D1022"/>
      <c r="E1022" s="35"/>
      <c r="F1022" s="35"/>
      <c r="G1022" s="35"/>
      <c r="H1022" s="35"/>
      <c r="I1022" s="35"/>
      <c r="J1022" s="35"/>
      <c r="K1022" s="35"/>
      <c r="L1022" s="35"/>
      <c r="M1022" s="35"/>
      <c r="N1022" s="35"/>
      <c r="O1022" s="35"/>
      <c r="P1022" s="35"/>
      <c r="Q1022" s="35"/>
      <c r="R1022" s="35"/>
    </row>
    <row r="1023" spans="2:22">
      <c r="C1023" s="36" t="s">
        <v>988</v>
      </c>
      <c r="D1023" s="35"/>
      <c r="E1023" s="35"/>
      <c r="F1023" s="35"/>
      <c r="G1023" s="35"/>
      <c r="H1023" s="35"/>
      <c r="I1023" s="35"/>
      <c r="J1023" s="35"/>
      <c r="K1023" s="35"/>
      <c r="L1023" s="35"/>
      <c r="M1023" s="35"/>
      <c r="N1023" s="35"/>
      <c r="O1023" s="35"/>
      <c r="P1023" s="35"/>
      <c r="Q1023" s="35"/>
      <c r="R1023" s="35"/>
    </row>
    <row r="1024" spans="2:22">
      <c r="C1024" s="35" t="s">
        <v>989</v>
      </c>
      <c r="D1024" s="35"/>
      <c r="E1024" s="35"/>
      <c r="F1024" s="35"/>
      <c r="G1024" s="35"/>
      <c r="H1024" s="35"/>
      <c r="I1024" s="35"/>
      <c r="J1024" s="35"/>
      <c r="K1024" s="35"/>
      <c r="L1024" s="35"/>
      <c r="M1024" s="35"/>
      <c r="N1024" s="35"/>
      <c r="O1024" s="35"/>
      <c r="P1024" s="35"/>
      <c r="Q1024" s="35"/>
      <c r="R1024" s="35"/>
    </row>
    <row r="1025" spans="2:18">
      <c r="C1025" s="36" t="s">
        <v>990</v>
      </c>
      <c r="D1025" s="35"/>
      <c r="E1025" s="35"/>
      <c r="F1025" s="35"/>
      <c r="G1025" s="35"/>
      <c r="H1025" s="35"/>
      <c r="I1025" s="35"/>
      <c r="J1025" s="35"/>
      <c r="K1025" s="35"/>
      <c r="L1025" s="35"/>
      <c r="M1025" s="35"/>
      <c r="N1025" s="35"/>
      <c r="O1025" s="35"/>
      <c r="P1025" s="35"/>
      <c r="Q1025" s="35"/>
      <c r="R1025" s="35"/>
    </row>
    <row r="1026" spans="2:18">
      <c r="C1026" s="37" t="s">
        <v>70</v>
      </c>
      <c r="D1026" s="35"/>
      <c r="E1026" s="35"/>
      <c r="F1026" s="35"/>
      <c r="G1026" s="35"/>
      <c r="H1026" s="35"/>
      <c r="I1026" s="35"/>
      <c r="J1026" s="35"/>
      <c r="K1026" s="35"/>
      <c r="L1026" s="35"/>
      <c r="M1026" s="35"/>
      <c r="N1026" s="35"/>
      <c r="O1026" s="35"/>
      <c r="P1026" s="35"/>
      <c r="Q1026" s="35"/>
      <c r="R1026" s="35"/>
    </row>
    <row r="1027" spans="2:18">
      <c r="C1027" s="37" t="s">
        <v>71</v>
      </c>
      <c r="D1027" s="35"/>
      <c r="E1027" s="35"/>
      <c r="F1027" s="35"/>
      <c r="G1027" s="35"/>
      <c r="H1027" s="35"/>
      <c r="I1027" s="35"/>
      <c r="J1027" s="35"/>
      <c r="K1027" s="35"/>
      <c r="L1027" s="35"/>
      <c r="M1027" s="35"/>
      <c r="N1027" s="35"/>
      <c r="O1027" s="35"/>
      <c r="P1027" s="35"/>
      <c r="Q1027" s="35"/>
      <c r="R1027" s="35"/>
    </row>
    <row r="1028" spans="2:18">
      <c r="C1028" s="37"/>
      <c r="D1028" s="35"/>
      <c r="E1028" s="35"/>
      <c r="F1028" s="35"/>
      <c r="G1028" s="35"/>
      <c r="H1028" s="35"/>
      <c r="I1028" s="35"/>
      <c r="J1028" s="35"/>
      <c r="K1028" s="35"/>
      <c r="L1028" s="35"/>
      <c r="M1028" s="35"/>
      <c r="N1028" s="35"/>
      <c r="O1028" s="35"/>
      <c r="P1028" s="35"/>
      <c r="Q1028" s="35"/>
      <c r="R1028" s="35"/>
    </row>
    <row r="1029" spans="2:18">
      <c r="C1029" s="37" t="s">
        <v>72</v>
      </c>
      <c r="D1029" s="35"/>
      <c r="E1029" s="35"/>
      <c r="F1029" s="35"/>
      <c r="G1029" s="35"/>
      <c r="H1029" s="35"/>
      <c r="I1029" s="35"/>
      <c r="J1029" s="35"/>
      <c r="K1029" s="35"/>
      <c r="L1029" s="35"/>
      <c r="M1029" s="35"/>
      <c r="N1029" s="35"/>
      <c r="O1029" s="35"/>
      <c r="P1029" s="35"/>
      <c r="Q1029" s="35"/>
      <c r="R1029" s="35"/>
    </row>
    <row r="1030" spans="2:18">
      <c r="C1030" s="144" t="s">
        <v>991</v>
      </c>
      <c r="D1030" s="35"/>
      <c r="E1030" s="35"/>
      <c r="F1030" s="35"/>
      <c r="G1030" s="35"/>
      <c r="H1030" s="35"/>
      <c r="I1030" s="35"/>
      <c r="J1030" s="35"/>
      <c r="K1030" s="35"/>
      <c r="L1030" s="35"/>
      <c r="M1030" s="35"/>
      <c r="N1030" s="35"/>
      <c r="O1030" s="35"/>
      <c r="P1030" s="35"/>
      <c r="Q1030" s="35"/>
      <c r="R1030" s="35"/>
    </row>
    <row r="1031" spans="2:18">
      <c r="C1031" s="37" t="s">
        <v>73</v>
      </c>
      <c r="D1031" s="35"/>
      <c r="E1031" s="35"/>
      <c r="F1031" s="35"/>
      <c r="G1031" s="35"/>
      <c r="H1031" s="35"/>
      <c r="I1031" s="35"/>
      <c r="J1031" s="35"/>
      <c r="K1031" s="35"/>
      <c r="L1031" s="35"/>
      <c r="M1031" s="35"/>
      <c r="N1031" s="35"/>
      <c r="O1031" s="35"/>
      <c r="P1031" s="35"/>
      <c r="Q1031" s="35"/>
      <c r="R1031" s="35"/>
    </row>
    <row r="1032" spans="2:18">
      <c r="C1032" s="33" t="s">
        <v>74</v>
      </c>
      <c r="D1032" s="35"/>
      <c r="E1032" s="35"/>
      <c r="F1032" s="35"/>
      <c r="G1032" s="35"/>
      <c r="H1032" s="35"/>
      <c r="I1032" s="35"/>
      <c r="J1032" s="35"/>
      <c r="K1032" s="35"/>
      <c r="L1032" s="35"/>
      <c r="M1032" s="35"/>
      <c r="N1032" s="35"/>
      <c r="O1032" s="35"/>
      <c r="P1032" s="35"/>
      <c r="Q1032" s="35"/>
      <c r="R1032" s="35"/>
    </row>
    <row r="1033" spans="2:18">
      <c r="C1033" s="37" t="s">
        <v>911</v>
      </c>
      <c r="D1033" s="35"/>
      <c r="E1033" s="35"/>
      <c r="F1033" s="35"/>
      <c r="G1033" s="35"/>
      <c r="H1033" s="35"/>
      <c r="I1033" s="35"/>
      <c r="J1033" s="35"/>
      <c r="K1033" s="35"/>
      <c r="L1033" s="35"/>
      <c r="M1033" s="35"/>
      <c r="N1033" s="35"/>
      <c r="O1033" s="35"/>
      <c r="P1033" s="35"/>
      <c r="Q1033" s="35"/>
      <c r="R1033" s="35"/>
    </row>
    <row r="1034" spans="2:18">
      <c r="C1034" s="29" t="s">
        <v>912</v>
      </c>
      <c r="D1034" s="35"/>
      <c r="E1034" s="35"/>
      <c r="F1034" s="35"/>
      <c r="G1034" s="35"/>
      <c r="H1034" s="35"/>
      <c r="I1034" s="35"/>
      <c r="J1034" s="35"/>
      <c r="K1034" s="35"/>
      <c r="L1034" s="35"/>
      <c r="M1034" s="35"/>
      <c r="N1034" s="35"/>
      <c r="O1034" s="35"/>
      <c r="P1034" s="35"/>
      <c r="Q1034" s="35"/>
      <c r="R1034" s="35"/>
    </row>
    <row r="1035" spans="2:18">
      <c r="C1035" s="144" t="s">
        <v>913</v>
      </c>
      <c r="D1035" s="35"/>
      <c r="E1035" s="35"/>
      <c r="F1035" s="35"/>
      <c r="G1035" s="35"/>
      <c r="H1035" s="35"/>
      <c r="I1035" s="35"/>
      <c r="J1035" s="35"/>
      <c r="K1035" s="35"/>
      <c r="L1035" s="35"/>
      <c r="M1035" s="35"/>
      <c r="N1035" s="35"/>
      <c r="O1035" s="35"/>
      <c r="P1035" s="35"/>
      <c r="Q1035" s="35"/>
      <c r="R1035" s="35"/>
    </row>
    <row r="1036" spans="2:18" ht="18.600000000000001">
      <c r="B1036" s="182"/>
      <c r="C1036" t="s">
        <v>78</v>
      </c>
      <c r="D1036"/>
      <c r="E1036"/>
      <c r="F1036"/>
      <c r="G1036"/>
      <c r="H1036" s="35"/>
      <c r="I1036" s="35"/>
      <c r="J1036" s="35"/>
      <c r="K1036" s="35"/>
      <c r="L1036" s="35"/>
      <c r="M1036" s="35"/>
      <c r="N1036" s="35"/>
      <c r="O1036" s="35"/>
      <c r="P1036" s="35"/>
      <c r="Q1036" s="35"/>
      <c r="R1036" s="35"/>
    </row>
    <row r="1037" spans="2:18">
      <c r="C1037" t="s">
        <v>555</v>
      </c>
      <c r="D1037" t="s">
        <v>75</v>
      </c>
      <c r="E1037"/>
      <c r="F1037"/>
      <c r="G1037"/>
      <c r="H1037" s="35"/>
      <c r="I1037" s="35"/>
      <c r="J1037" s="35"/>
      <c r="K1037" s="35"/>
      <c r="L1037" s="35"/>
      <c r="M1037" s="35"/>
      <c r="N1037" s="35"/>
      <c r="O1037" s="35"/>
      <c r="P1037" s="35"/>
      <c r="Q1037" s="35"/>
      <c r="R1037" s="35"/>
    </row>
    <row r="1038" spans="2:18">
      <c r="C1038" t="s">
        <v>555</v>
      </c>
      <c r="D1038" t="s">
        <v>76</v>
      </c>
      <c r="E1038"/>
      <c r="F1038"/>
      <c r="G1038"/>
      <c r="H1038" s="35"/>
      <c r="I1038" s="35"/>
      <c r="J1038" s="35"/>
      <c r="K1038" s="35"/>
      <c r="L1038" s="35"/>
      <c r="M1038" s="35"/>
      <c r="N1038" s="35"/>
      <c r="O1038" s="35"/>
      <c r="P1038" s="35"/>
      <c r="Q1038" s="35"/>
      <c r="R1038" s="35"/>
    </row>
    <row r="1039" spans="2:18">
      <c r="C1039" t="s">
        <v>555</v>
      </c>
      <c r="D1039" t="s">
        <v>77</v>
      </c>
      <c r="E1039"/>
      <c r="F1039"/>
      <c r="G1039"/>
      <c r="H1039"/>
      <c r="I1039" s="35"/>
      <c r="J1039" s="35"/>
      <c r="K1039" s="35"/>
      <c r="L1039" s="35"/>
      <c r="M1039" s="35"/>
      <c r="N1039" s="35"/>
      <c r="O1039" s="35"/>
      <c r="P1039" s="35"/>
      <c r="Q1039" s="35"/>
      <c r="R1039" s="35"/>
    </row>
    <row r="1040" spans="2:18">
      <c r="C1040"/>
      <c r="D1040"/>
      <c r="E1040"/>
      <c r="F1040"/>
      <c r="G1040"/>
      <c r="H1040"/>
      <c r="I1040" s="35"/>
      <c r="J1040" s="35"/>
      <c r="K1040" s="35"/>
      <c r="L1040" s="35"/>
      <c r="M1040" s="35"/>
      <c r="N1040" s="35"/>
      <c r="O1040" s="35"/>
      <c r="P1040" s="35"/>
      <c r="Q1040" s="35"/>
      <c r="R1040" s="35"/>
    </row>
    <row r="1041" spans="3:18">
      <c r="C1041" s="37" t="s">
        <v>1007</v>
      </c>
      <c r="D1041"/>
      <c r="E1041"/>
      <c r="F1041"/>
      <c r="G1041"/>
      <c r="H1041"/>
      <c r="I1041" s="35"/>
      <c r="J1041" s="35"/>
      <c r="K1041" s="35"/>
      <c r="L1041" s="35"/>
      <c r="M1041" s="35"/>
      <c r="N1041" s="35"/>
      <c r="O1041" s="35"/>
      <c r="P1041" s="35"/>
      <c r="Q1041" s="35"/>
      <c r="R1041" s="35"/>
    </row>
    <row r="1042" spans="3:18">
      <c r="C1042" s="37" t="s">
        <v>2</v>
      </c>
      <c r="D1042" s="35"/>
      <c r="E1042" s="35"/>
      <c r="F1042" s="35"/>
      <c r="G1042" s="35"/>
      <c r="H1042"/>
      <c r="I1042" s="35"/>
      <c r="J1042" s="35"/>
      <c r="K1042" s="35"/>
      <c r="L1042" s="35"/>
      <c r="M1042" s="35"/>
      <c r="N1042" s="35"/>
      <c r="O1042" s="35"/>
      <c r="P1042" s="35"/>
      <c r="Q1042" s="35"/>
      <c r="R1042" s="35"/>
    </row>
    <row r="1043" spans="3:18">
      <c r="C1043" s="37" t="s">
        <v>1008</v>
      </c>
      <c r="D1043" s="35"/>
      <c r="E1043" s="35"/>
      <c r="F1043" s="35"/>
      <c r="G1043" s="35"/>
      <c r="H1043"/>
      <c r="I1043" s="35"/>
      <c r="J1043" s="35"/>
      <c r="K1043" s="35"/>
      <c r="L1043" s="35"/>
      <c r="M1043" s="35"/>
      <c r="N1043" s="35"/>
      <c r="O1043" s="35"/>
      <c r="P1043" s="35"/>
      <c r="Q1043" s="35"/>
      <c r="R1043" s="35"/>
    </row>
    <row r="1044" spans="3:18">
      <c r="C1044" s="33" t="s">
        <v>1009</v>
      </c>
      <c r="H1044"/>
      <c r="I1044" s="35"/>
      <c r="J1044" s="35"/>
      <c r="K1044" s="35"/>
      <c r="L1044" s="35"/>
      <c r="M1044" s="35"/>
      <c r="N1044" s="35"/>
      <c r="O1044" s="35"/>
      <c r="P1044" s="35"/>
      <c r="Q1044" s="35"/>
      <c r="R1044" s="35"/>
    </row>
    <row r="1045" spans="3:18">
      <c r="C1045" s="37" t="s">
        <v>588</v>
      </c>
      <c r="E1045" s="37" t="s">
        <v>1010</v>
      </c>
      <c r="H1045"/>
      <c r="I1045" s="35"/>
      <c r="J1045" s="35"/>
      <c r="K1045" s="35"/>
      <c r="L1045" s="35"/>
      <c r="M1045" s="35"/>
      <c r="N1045" s="35"/>
      <c r="O1045" s="35"/>
      <c r="P1045" s="35"/>
      <c r="Q1045" s="35"/>
      <c r="R1045" s="35"/>
    </row>
    <row r="1046" spans="3:18">
      <c r="E1046" s="33" t="s">
        <v>163</v>
      </c>
      <c r="H1046"/>
      <c r="I1046" s="35"/>
      <c r="J1046" s="35"/>
      <c r="K1046" s="35"/>
      <c r="L1046" s="35"/>
      <c r="M1046" s="35"/>
      <c r="N1046" s="35"/>
      <c r="O1046" s="35"/>
      <c r="P1046" s="35"/>
      <c r="Q1046" s="35"/>
      <c r="R1046" s="35"/>
    </row>
    <row r="1047" spans="3:18">
      <c r="E1047" s="33" t="s">
        <v>994</v>
      </c>
      <c r="H1047"/>
      <c r="I1047" s="35"/>
      <c r="J1047" s="35"/>
      <c r="K1047" s="35"/>
      <c r="L1047" s="35"/>
      <c r="M1047" s="35"/>
      <c r="N1047" s="35"/>
      <c r="O1047" s="35"/>
      <c r="P1047" s="35"/>
      <c r="Q1047" s="35"/>
      <c r="R1047" s="35"/>
    </row>
    <row r="1048" spans="3:18">
      <c r="C1048" s="33" t="s">
        <v>992</v>
      </c>
      <c r="E1048" s="37"/>
      <c r="H1048"/>
      <c r="I1048" s="35"/>
      <c r="J1048" s="35"/>
      <c r="K1048" s="35"/>
      <c r="L1048" s="35"/>
      <c r="M1048" s="35"/>
      <c r="N1048" s="35"/>
      <c r="O1048" s="35"/>
      <c r="P1048" s="35"/>
      <c r="Q1048" s="35"/>
      <c r="R1048" s="35"/>
    </row>
    <row r="1049" spans="3:18">
      <c r="C1049" s="33" t="s">
        <v>1011</v>
      </c>
      <c r="H1049"/>
      <c r="I1049" s="35"/>
      <c r="J1049" s="35"/>
      <c r="K1049" s="35"/>
      <c r="L1049" s="35"/>
      <c r="M1049" s="35"/>
      <c r="N1049" s="35"/>
      <c r="O1049" s="35"/>
      <c r="P1049" s="35"/>
      <c r="Q1049" s="35"/>
      <c r="R1049" s="35"/>
    </row>
    <row r="1050" spans="3:18">
      <c r="C1050" s="33" t="s">
        <v>993</v>
      </c>
      <c r="H1050"/>
      <c r="I1050" s="35"/>
      <c r="J1050" s="35"/>
      <c r="K1050" s="35"/>
      <c r="L1050" s="35"/>
      <c r="M1050" s="35"/>
      <c r="N1050" s="35"/>
      <c r="O1050" s="35"/>
      <c r="P1050" s="35"/>
      <c r="Q1050" s="35"/>
      <c r="R1050" s="35"/>
    </row>
    <row r="1051" spans="3:18">
      <c r="C1051" s="37" t="s">
        <v>1012</v>
      </c>
      <c r="H1051" s="35"/>
      <c r="I1051" s="35"/>
      <c r="J1051" s="35"/>
      <c r="K1051" s="35"/>
      <c r="L1051" s="35"/>
      <c r="M1051" s="35"/>
      <c r="N1051" s="35"/>
      <c r="O1051" s="35"/>
      <c r="P1051" s="35"/>
      <c r="Q1051" s="35"/>
      <c r="R1051" s="35"/>
    </row>
    <row r="1052" spans="3:18">
      <c r="C1052" s="33" t="s">
        <v>1013</v>
      </c>
      <c r="H1052" s="35"/>
      <c r="I1052" s="35"/>
      <c r="J1052" s="35"/>
      <c r="K1052" s="35"/>
      <c r="L1052" s="35"/>
      <c r="M1052" s="35"/>
      <c r="N1052" s="35"/>
      <c r="O1052" s="35"/>
      <c r="P1052" s="35"/>
      <c r="Q1052" s="35"/>
      <c r="R1052" s="35"/>
    </row>
    <row r="1053" spans="3:18">
      <c r="D1053" s="35"/>
      <c r="E1053" s="35"/>
      <c r="F1053" s="35"/>
      <c r="G1053" s="35"/>
      <c r="H1053" s="35"/>
      <c r="I1053" s="35"/>
      <c r="J1053" s="35"/>
      <c r="K1053" s="35"/>
      <c r="L1053" s="35"/>
      <c r="M1053" s="35"/>
      <c r="N1053" s="35"/>
      <c r="O1053" s="35"/>
      <c r="P1053" s="35"/>
      <c r="Q1053" s="35"/>
      <c r="R1053" s="35"/>
    </row>
    <row r="1054" spans="3:18">
      <c r="C1054" s="37" t="s">
        <v>1024</v>
      </c>
      <c r="D1054" s="35"/>
      <c r="E1054" s="35"/>
      <c r="F1054" s="35"/>
      <c r="G1054" s="35"/>
      <c r="H1054" s="35"/>
      <c r="I1054" s="35"/>
      <c r="J1054" s="35"/>
      <c r="K1054" s="35"/>
      <c r="L1054" s="35"/>
      <c r="M1054" s="35"/>
      <c r="N1054" s="35"/>
      <c r="O1054" s="35"/>
      <c r="P1054" s="35"/>
      <c r="Q1054" s="35"/>
      <c r="R1054" s="35"/>
    </row>
    <row r="1055" spans="3:18">
      <c r="C1055" s="37" t="s">
        <v>555</v>
      </c>
      <c r="D1055" s="35" t="s">
        <v>1026</v>
      </c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</row>
    <row r="1056" spans="3:18">
      <c r="C1056" s="37" t="s">
        <v>555</v>
      </c>
      <c r="D1056" s="35" t="s">
        <v>1025</v>
      </c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</row>
    <row r="1057" spans="2:26">
      <c r="C1057" s="29" t="s">
        <v>1029</v>
      </c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</row>
    <row r="1058" spans="2:26" ht="18.600000000000001">
      <c r="B1058" s="182"/>
      <c r="C1058" s="37" t="s">
        <v>1030</v>
      </c>
      <c r="D1058" s="35"/>
      <c r="E1058" s="35"/>
      <c r="F1058" s="35"/>
      <c r="G1058" s="35"/>
      <c r="H1058" s="35"/>
      <c r="I1058" s="35"/>
      <c r="J1058" s="35"/>
      <c r="K1058" s="35"/>
      <c r="L1058" s="35"/>
      <c r="M1058" s="35"/>
      <c r="N1058" s="35"/>
      <c r="O1058" s="35"/>
      <c r="P1058" s="35"/>
      <c r="Q1058" s="35"/>
      <c r="R1058" s="35"/>
    </row>
    <row r="1059" spans="2:26">
      <c r="C1059" s="29" t="s">
        <v>1031</v>
      </c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</row>
    <row r="1060" spans="2:26">
      <c r="C1060" s="29" t="s">
        <v>1032</v>
      </c>
      <c r="D1060" s="35"/>
      <c r="E1060" s="35"/>
      <c r="F1060" s="35"/>
      <c r="G1060" s="35"/>
      <c r="H1060" s="35"/>
      <c r="I1060" s="35"/>
      <c r="J1060" s="35"/>
      <c r="K1060" s="35"/>
      <c r="L1060" s="35"/>
      <c r="M1060" s="35"/>
      <c r="N1060" s="35"/>
      <c r="O1060" s="35"/>
      <c r="P1060" s="35"/>
      <c r="Q1060" s="35"/>
      <c r="R1060" s="35"/>
    </row>
    <row r="1061" spans="2:26">
      <c r="C1061" s="29" t="s">
        <v>164</v>
      </c>
      <c r="D1061" s="35"/>
      <c r="E1061" s="35"/>
      <c r="F1061" s="35"/>
      <c r="G1061" s="35"/>
      <c r="H1061" s="35"/>
      <c r="I1061" s="35"/>
      <c r="J1061" s="35"/>
      <c r="K1061" s="35"/>
      <c r="L1061" s="35"/>
      <c r="M1061" s="35"/>
      <c r="N1061" s="35"/>
      <c r="O1061" s="35"/>
      <c r="P1061" s="35"/>
      <c r="Q1061" s="35"/>
      <c r="R1061" s="35"/>
    </row>
    <row r="1062" spans="2:26">
      <c r="C1062" s="29" t="s">
        <v>1034</v>
      </c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</row>
    <row r="1063" spans="2:26">
      <c r="C1063" s="29" t="s">
        <v>1033</v>
      </c>
      <c r="D1063" s="35"/>
      <c r="E1063" s="35"/>
      <c r="F1063" s="35"/>
      <c r="G1063" s="35"/>
      <c r="H1063" s="35"/>
      <c r="I1063" s="35"/>
      <c r="J1063" s="35"/>
      <c r="K1063" s="35"/>
      <c r="L1063" s="35"/>
      <c r="M1063" s="35"/>
      <c r="N1063" s="35"/>
      <c r="O1063" s="35"/>
      <c r="P1063" s="35"/>
      <c r="Q1063" s="35"/>
      <c r="R1063" s="35"/>
    </row>
    <row r="1064" spans="2:26">
      <c r="C1064" s="29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</row>
    <row r="1065" spans="2:26">
      <c r="B1065" s="105">
        <f>1+B585</f>
        <v>11</v>
      </c>
      <c r="C1065" s="103" t="str">
        <f>"Übersicht "&amp;FIXED(B1065,0)&amp;":"</f>
        <v>Übersicht 11:</v>
      </c>
      <c r="E1065"/>
      <c r="F1065"/>
      <c r="G1065" s="91" t="s">
        <v>1027</v>
      </c>
      <c r="H1065" s="35"/>
      <c r="I1065" s="35"/>
      <c r="J1065" s="35"/>
      <c r="K1065" s="35"/>
      <c r="L1065" s="35"/>
      <c r="M1065" s="35"/>
      <c r="N1065" s="35"/>
      <c r="O1065" s="35"/>
      <c r="P1065" s="1181" t="s">
        <v>1315</v>
      </c>
      <c r="Q1065" s="35"/>
      <c r="R1065" s="35"/>
    </row>
    <row r="1066" spans="2:26" ht="6.75" customHeight="1">
      <c r="D1066" s="35"/>
      <c r="G1066" s="644"/>
      <c r="H1066" s="1034"/>
      <c r="I1066" s="1034"/>
      <c r="J1066" s="1034"/>
      <c r="K1066" s="1034"/>
      <c r="L1066" s="1034"/>
      <c r="M1066" s="1034"/>
      <c r="N1066" s="1034"/>
      <c r="O1066" s="644"/>
      <c r="P1066" s="644"/>
      <c r="Q1066" s="644"/>
      <c r="R1066" s="644"/>
      <c r="S1066" s="644"/>
      <c r="T1066" s="644"/>
      <c r="U1066" s="644"/>
      <c r="V1066" s="644"/>
      <c r="W1066" s="644"/>
      <c r="X1066" s="644"/>
      <c r="Y1066" s="644"/>
      <c r="Z1066" s="644"/>
    </row>
    <row r="1067" spans="2:26">
      <c r="D1067" s="35"/>
      <c r="E1067" s="35"/>
      <c r="F1067" s="663" t="s">
        <v>165</v>
      </c>
      <c r="G1067" s="1054"/>
      <c r="H1067" s="1055"/>
      <c r="I1067" s="1055"/>
      <c r="J1067" s="1055"/>
      <c r="K1067" s="1055"/>
      <c r="L1067" s="1055"/>
      <c r="M1067" s="1055"/>
      <c r="N1067" s="1055"/>
      <c r="O1067" s="1055"/>
      <c r="P1067" s="1056"/>
    </row>
    <row r="1068" spans="2:26">
      <c r="D1068" s="35"/>
      <c r="E1068" s="35"/>
      <c r="F1068" s="646" t="s">
        <v>1014</v>
      </c>
      <c r="G1068" s="1057" t="s">
        <v>1015</v>
      </c>
      <c r="H1068" s="1058"/>
      <c r="I1068" s="1058"/>
      <c r="J1068" s="1058"/>
      <c r="K1068" s="1059"/>
      <c r="L1068" s="1059"/>
      <c r="M1068" s="1058"/>
      <c r="N1068" s="1058"/>
      <c r="O1068" s="1058"/>
      <c r="P1068" s="1060"/>
      <c r="S1068" s="1214" t="s">
        <v>611</v>
      </c>
      <c r="T1068" s="1216">
        <v>0.5</v>
      </c>
    </row>
    <row r="1069" spans="2:26">
      <c r="D1069" s="35"/>
      <c r="E1069" s="35"/>
      <c r="F1069" s="652" t="s">
        <v>1016</v>
      </c>
      <c r="G1069" s="1061">
        <v>0.1</v>
      </c>
      <c r="H1069" s="199">
        <v>0.2</v>
      </c>
      <c r="I1069" s="199">
        <v>0.3</v>
      </c>
      <c r="J1069" s="199">
        <v>0.4</v>
      </c>
      <c r="K1069" s="199">
        <v>0.5</v>
      </c>
      <c r="L1069" s="199">
        <v>0.6</v>
      </c>
      <c r="M1069" s="199">
        <v>0.7</v>
      </c>
      <c r="N1069" s="199">
        <v>0.8</v>
      </c>
      <c r="O1069" s="199">
        <v>0.9</v>
      </c>
      <c r="P1069" s="1062">
        <v>1</v>
      </c>
    </row>
    <row r="1070" spans="2:26">
      <c r="D1070" s="35"/>
      <c r="E1070" s="35"/>
      <c r="F1070" s="1215">
        <v>0</v>
      </c>
      <c r="G1070" s="1217">
        <f t="shared" ref="G1070:P1070" si="7">IF($F1070&gt;=G$1069,0,(1-($F1070^$T$1068*$F1070)-(1-(G$1069^$T$1068*G$1069)))/(G$1069-$F1070))</f>
        <v>0.31622776601683777</v>
      </c>
      <c r="H1070" s="1218">
        <f t="shared" si="7"/>
        <v>0.44721359549995787</v>
      </c>
      <c r="I1070" s="1218">
        <f t="shared" si="7"/>
        <v>0.54772255750516585</v>
      </c>
      <c r="J1070" s="1218">
        <f t="shared" si="7"/>
        <v>0.6324555320336761</v>
      </c>
      <c r="K1070" s="1219">
        <f t="shared" si="7"/>
        <v>0.70710678118654746</v>
      </c>
      <c r="L1070" s="1219">
        <f t="shared" si="7"/>
        <v>0.7745966692414834</v>
      </c>
      <c r="M1070" s="1218">
        <f t="shared" si="7"/>
        <v>0.83666002653407545</v>
      </c>
      <c r="N1070" s="1218">
        <f t="shared" si="7"/>
        <v>0.89442719099991586</v>
      </c>
      <c r="O1070" s="1218">
        <f t="shared" si="7"/>
        <v>0.94868329805051377</v>
      </c>
      <c r="P1070" s="1220">
        <f t="shared" si="7"/>
        <v>1</v>
      </c>
    </row>
    <row r="1071" spans="2:26">
      <c r="D1071" s="35"/>
      <c r="E1071" s="35"/>
      <c r="F1071" s="1063">
        <v>0.1</v>
      </c>
      <c r="G1071" s="1221"/>
      <c r="H1071" s="1222">
        <f t="shared" ref="H1071:P1071" si="8">IF($F1071&gt;=H$1069,0,(1-($F1071^$T$1068*$F1071)-(1-(H$1069^$T$1068*H$1069)))/(H$1069-$F1071))</f>
        <v>0.57819942498307797</v>
      </c>
      <c r="I1071" s="1222">
        <f t="shared" si="8"/>
        <v>0.66346995324932989</v>
      </c>
      <c r="J1071" s="1222">
        <f t="shared" si="8"/>
        <v>0.73786478737262207</v>
      </c>
      <c r="K1071" s="1223">
        <f t="shared" si="8"/>
        <v>0.80482653497897483</v>
      </c>
      <c r="L1071" s="1223">
        <f t="shared" si="8"/>
        <v>0.86627044988641244</v>
      </c>
      <c r="M1071" s="1222">
        <f t="shared" si="8"/>
        <v>0.92339873662028171</v>
      </c>
      <c r="N1071" s="1222">
        <f t="shared" si="8"/>
        <v>0.97702710885464128</v>
      </c>
      <c r="O1071" s="1222">
        <f t="shared" si="8"/>
        <v>1.0277402395547233</v>
      </c>
      <c r="P1071" s="1224">
        <f t="shared" si="8"/>
        <v>1.0759746926647957</v>
      </c>
    </row>
    <row r="1072" spans="2:26">
      <c r="D1072" s="35"/>
      <c r="E1072" s="35"/>
      <c r="F1072" s="1063">
        <v>0.2</v>
      </c>
      <c r="G1072" s="1221"/>
      <c r="H1072" s="1225"/>
      <c r="I1072" s="1222">
        <f t="shared" ref="I1072:P1072" si="9">IF($F1072&gt;=I$1069,0,(1-($F1072^$T$1068*$F1072)-(1-(I$1069^$T$1068*I$1069)))/(I$1069-$F1072))</f>
        <v>0.74874048151558192</v>
      </c>
      <c r="J1072" s="1222">
        <f t="shared" si="9"/>
        <v>0.81769746856739434</v>
      </c>
      <c r="K1072" s="1223">
        <f t="shared" si="9"/>
        <v>0.88036890497760723</v>
      </c>
      <c r="L1072" s="1223">
        <f t="shared" si="9"/>
        <v>0.93828820611224617</v>
      </c>
      <c r="M1072" s="1222">
        <f t="shared" si="9"/>
        <v>0.99243859894772257</v>
      </c>
      <c r="N1072" s="1222">
        <f t="shared" si="9"/>
        <v>1.0434983894999017</v>
      </c>
      <c r="O1072" s="1222">
        <f t="shared" si="9"/>
        <v>1.0919603559221014</v>
      </c>
      <c r="P1072" s="1224">
        <f t="shared" si="9"/>
        <v>1.1381966011250104</v>
      </c>
    </row>
    <row r="1073" spans="4:26">
      <c r="D1073" s="35"/>
      <c r="E1073" s="35"/>
      <c r="F1073" s="1063">
        <v>0.3</v>
      </c>
      <c r="G1073" s="1221"/>
      <c r="H1073" s="1225"/>
      <c r="I1073" s="1225"/>
      <c r="J1073" s="1222">
        <f t="shared" ref="J1073:P1073" si="10">IF($F1073&gt;=J$1069,0,(1-($F1073^$T$1068*$F1073)-(1-(J$1069^$T$1068*J$1069)))/(J$1069-$F1073))</f>
        <v>0.88665445561920653</v>
      </c>
      <c r="K1073" s="1223">
        <f t="shared" si="10"/>
        <v>0.94618311670861988</v>
      </c>
      <c r="L1073" s="1223">
        <f t="shared" si="10"/>
        <v>1.001470780977801</v>
      </c>
      <c r="M1073" s="1222">
        <f t="shared" si="10"/>
        <v>1.0533631283057576</v>
      </c>
      <c r="N1073" s="1222">
        <f t="shared" si="10"/>
        <v>1.1024499710967659</v>
      </c>
      <c r="O1073" s="1222">
        <f t="shared" si="10"/>
        <v>1.1491636683231876</v>
      </c>
      <c r="P1073" s="1224">
        <f t="shared" si="10"/>
        <v>1.1938331896406433</v>
      </c>
    </row>
    <row r="1074" spans="4:26">
      <c r="D1074" s="35"/>
      <c r="E1074" s="35"/>
      <c r="F1074" s="1063">
        <v>0.4</v>
      </c>
      <c r="G1074" s="1221"/>
      <c r="H1074" s="1225"/>
      <c r="I1074" s="1225"/>
      <c r="J1074" s="1225"/>
      <c r="K1074" s="1223">
        <f t="shared" ref="K1074:P1074" si="11">IF($F1074&gt;=K$1069,0,(1-($F1074^$T$1068*$F1074)-(1-(K$1069^$T$1068*K$1069)))/(K$1069-$F1074))</f>
        <v>1.0057117777980331</v>
      </c>
      <c r="L1074" s="1223">
        <f t="shared" si="11"/>
        <v>1.058878943657098</v>
      </c>
      <c r="M1074" s="1222">
        <f t="shared" si="11"/>
        <v>1.1089326858679414</v>
      </c>
      <c r="N1074" s="1222">
        <f t="shared" si="11"/>
        <v>1.1563988499661555</v>
      </c>
      <c r="O1074" s="1222">
        <f t="shared" si="11"/>
        <v>1.201665510863984</v>
      </c>
      <c r="P1074" s="1224">
        <f t="shared" si="11"/>
        <v>1.2450296453108827</v>
      </c>
    </row>
    <row r="1075" spans="4:26">
      <c r="D1075" s="35"/>
      <c r="E1075" s="35"/>
      <c r="F1075" s="1063">
        <v>0.5</v>
      </c>
      <c r="G1075" s="1221"/>
      <c r="H1075" s="1225"/>
      <c r="I1075" s="1225"/>
      <c r="J1075" s="1225"/>
      <c r="K1075" s="1225"/>
      <c r="L1075" s="1223">
        <f>IF($F1075&gt;=L$1069,0,(1-($F1075^$T$1068*$F1075)-(1-(L$1069^$T$1068*L$1069)))/(L$1069-$F1075))</f>
        <v>1.1120461095161629</v>
      </c>
      <c r="M1075" s="1222">
        <f>IF($F1075&gt;=M$1069,0,(1-($F1075^$T$1068*$F1075)-(1-(M$1069^$T$1068*M$1069)))/(M$1069-$F1075))</f>
        <v>1.1605431399028956</v>
      </c>
      <c r="N1075" s="1222">
        <f>IF($F1075&gt;=N$1069,0,(1-($F1075^$T$1068*$F1075)-(1-(N$1069^$T$1068*N$1069)))/(N$1069-$F1075))</f>
        <v>1.2066278740221965</v>
      </c>
      <c r="O1075" s="1222">
        <f>IF($F1075&gt;=O$1069,0,(1-($F1075^$T$1068*$F1075)-(1-(O$1069^$T$1068*O$1069)))/(O$1069-$F1075))</f>
        <v>1.2506539441304716</v>
      </c>
      <c r="P1075" s="1224">
        <f>IF($F1075&gt;=P$1069,0,(1-($F1075^$T$1068*$F1075)-(1-(P$1069^$T$1068*P$1069)))/(P$1069-$F1075))</f>
        <v>1.2928932188134525</v>
      </c>
    </row>
    <row r="1076" spans="4:26">
      <c r="D1076" s="35"/>
      <c r="E1076" s="35"/>
      <c r="F1076" s="1063">
        <v>0.6</v>
      </c>
      <c r="G1076" s="1221"/>
      <c r="H1076" s="1225"/>
      <c r="I1076" s="1225"/>
      <c r="J1076" s="1225"/>
      <c r="K1076" s="1225"/>
      <c r="L1076" s="1225"/>
      <c r="M1076" s="1222">
        <f>IF($F1076&gt;=M$1069,0,(1-($F1076^$T$1068*$F1076)-(1-(M$1069^$T$1068*M$1069)))/(M$1069-$F1076))</f>
        <v>1.2090401702896283</v>
      </c>
      <c r="N1076" s="1222">
        <f>IF($F1076&gt;=N$1069,0,(1-($F1076^$T$1068*$F1076)-(1-(N$1069^$T$1068*N$1069)))/(N$1069-$F1076))</f>
        <v>1.2539187562752132</v>
      </c>
      <c r="O1076" s="1222">
        <f>IF($F1076&gt;=O$1069,0,(1-($F1076^$T$1068*$F1076)-(1-(O$1069^$T$1068*O$1069)))/(O$1069-$F1076))</f>
        <v>1.2968565556685745</v>
      </c>
      <c r="P1076" s="1224">
        <f>IF($F1076&gt;=P$1069,0,(1-($F1076^$T$1068*$F1076)-(1-(P$1069^$T$1068*P$1069)))/(P$1069-$F1076))</f>
        <v>1.3381049961377749</v>
      </c>
    </row>
    <row r="1077" spans="4:26">
      <c r="D1077" s="35"/>
      <c r="E1077" s="35"/>
      <c r="F1077" s="1063">
        <v>0.7</v>
      </c>
      <c r="G1077" s="1221"/>
      <c r="H1077" s="1225"/>
      <c r="I1077" s="1225"/>
      <c r="J1077" s="1225"/>
      <c r="K1077" s="1225"/>
      <c r="L1077" s="1225"/>
      <c r="M1077" s="1225"/>
      <c r="N1077" s="1222">
        <f>IF($F1077&gt;=N$1069,0,(1-($F1077^$T$1068*$F1077)-(1-(N$1069^$T$1068*N$1069)))/(N$1069-$F1077))</f>
        <v>1.2987973422607979</v>
      </c>
      <c r="O1077" s="1222">
        <f>IF($F1077&gt;=O$1069,0,(1-($F1077^$T$1068*$F1077)-(1-(O$1069^$T$1068*O$1069)))/(O$1069-$F1077))</f>
        <v>1.3407647483580476</v>
      </c>
      <c r="P1077" s="1224">
        <f>IF($F1077&gt;=P$1069,0,(1-($F1077^$T$1068*$F1077)-(1-(P$1069^$T$1068*P$1069)))/(P$1069-$F1077))</f>
        <v>1.3811266047538238</v>
      </c>
    </row>
    <row r="1078" spans="4:26">
      <c r="D1078" s="35"/>
      <c r="E1078" s="35"/>
      <c r="F1078" s="1063">
        <v>0.8</v>
      </c>
      <c r="G1078" s="1221"/>
      <c r="H1078" s="1225"/>
      <c r="I1078" s="1225"/>
      <c r="J1078" s="1225"/>
      <c r="K1078" s="1225"/>
      <c r="L1078" s="1225"/>
      <c r="M1078" s="1225"/>
      <c r="N1078" s="1225"/>
      <c r="O1078" s="1222">
        <f>IF($F1078&gt;=O$1069,0,(1-($F1078^$T$1068*$F1078)-(1-(O$1069^$T$1068*O$1069)))/(O$1069-$F1078))</f>
        <v>1.3827321544552975</v>
      </c>
      <c r="P1078" s="1224">
        <f>IF($F1078&gt;=P$1069,0,(1-($F1078^$T$1068*$F1078)-(1-(P$1069^$T$1068*P$1069)))/(P$1069-$F1078))</f>
        <v>1.4222912360003368</v>
      </c>
    </row>
    <row r="1079" spans="4:26">
      <c r="D1079" s="35"/>
      <c r="E1079" s="35"/>
      <c r="F1079" s="1064">
        <v>0.9</v>
      </c>
      <c r="G1079" s="1226"/>
      <c r="H1079" s="1227"/>
      <c r="I1079" s="1227"/>
      <c r="J1079" s="1227"/>
      <c r="K1079" s="1228"/>
      <c r="L1079" s="1228"/>
      <c r="M1079" s="1227"/>
      <c r="N1079" s="1227"/>
      <c r="O1079" s="1227"/>
      <c r="P1079" s="1229">
        <f>IF($F1079&gt;=P$1069,0,(1-($F1079^$T$1068*$F1079)-(1-(P$1069^$T$1068*P$1069)))/(P$1069-$F1079))</f>
        <v>1.4618503175453759</v>
      </c>
    </row>
    <row r="1080" spans="4:26">
      <c r="D1080" s="35"/>
      <c r="E1080" s="35"/>
      <c r="F1080" s="644"/>
      <c r="G1080" s="644"/>
      <c r="H1080" s="1034"/>
      <c r="I1080" s="1034"/>
      <c r="J1080" s="1034"/>
      <c r="K1080" s="1034"/>
      <c r="L1080" s="1034"/>
      <c r="M1080" s="1034"/>
      <c r="N1080" s="1034"/>
      <c r="O1080" s="644"/>
      <c r="P1080" s="644"/>
      <c r="Q1080" s="644"/>
      <c r="R1080" s="644"/>
      <c r="S1080" s="644"/>
      <c r="T1080" s="644"/>
      <c r="U1080" s="644"/>
      <c r="V1080" s="644"/>
      <c r="W1080" s="644"/>
      <c r="X1080" s="644"/>
      <c r="Y1080" s="644"/>
      <c r="Z1080" s="644"/>
    </row>
    <row r="1081" spans="4:26">
      <c r="D1081" s="35"/>
      <c r="E1081" s="35"/>
      <c r="F1081" s="71" t="s">
        <v>1018</v>
      </c>
      <c r="G1081" s="659"/>
      <c r="H1081" s="660"/>
      <c r="I1081" s="659"/>
      <c r="J1081" s="659"/>
      <c r="K1081" s="660"/>
      <c r="L1081" s="660"/>
      <c r="M1081" s="661"/>
      <c r="N1081" s="661"/>
      <c r="O1081" s="661"/>
      <c r="P1081" s="662"/>
      <c r="Q1081" s="644"/>
      <c r="R1081" s="644"/>
      <c r="S1081" s="644"/>
      <c r="T1081" s="644"/>
      <c r="U1081" s="644"/>
      <c r="V1081" s="644"/>
      <c r="W1081" s="644"/>
      <c r="X1081" s="644"/>
      <c r="Y1081" s="644"/>
      <c r="Z1081" s="644"/>
    </row>
    <row r="1082" spans="4:26">
      <c r="D1082" s="35"/>
      <c r="E1082" s="35"/>
      <c r="F1082" s="646" t="s">
        <v>1014</v>
      </c>
      <c r="G1082" s="647" t="s">
        <v>1015</v>
      </c>
      <c r="H1082" s="648"/>
      <c r="I1082" s="648"/>
      <c r="J1082" s="648"/>
      <c r="K1082" s="649"/>
      <c r="L1082" s="649"/>
      <c r="M1082" s="650"/>
      <c r="N1082" s="650"/>
      <c r="O1082" s="650"/>
      <c r="P1082" s="651"/>
      <c r="Q1082"/>
      <c r="S1082" s="1214" t="s">
        <v>611</v>
      </c>
      <c r="T1082" s="1191">
        <v>0.35</v>
      </c>
      <c r="U1082" s="644"/>
      <c r="V1082" s="644"/>
      <c r="W1082" s="644"/>
      <c r="X1082" s="644"/>
      <c r="Y1082" s="644"/>
      <c r="Z1082" s="644"/>
    </row>
    <row r="1083" spans="4:26">
      <c r="D1083" s="35"/>
      <c r="E1083" s="35"/>
      <c r="F1083" s="652" t="s">
        <v>1016</v>
      </c>
      <c r="G1083" s="1192">
        <v>0.1</v>
      </c>
      <c r="H1083" s="1193">
        <v>0.2</v>
      </c>
      <c r="I1083" s="1193">
        <v>0.3</v>
      </c>
      <c r="J1083" s="1193">
        <v>0.4</v>
      </c>
      <c r="K1083" s="1193">
        <v>0.5</v>
      </c>
      <c r="L1083" s="1193">
        <v>0.6</v>
      </c>
      <c r="M1083" s="1193">
        <v>0.7</v>
      </c>
      <c r="N1083" s="1193">
        <v>0.8</v>
      </c>
      <c r="O1083" s="1193">
        <v>0.9</v>
      </c>
      <c r="P1083" s="1194">
        <v>1</v>
      </c>
      <c r="Q1083"/>
      <c r="R1083"/>
      <c r="S1083" s="644"/>
      <c r="T1083" s="644"/>
      <c r="U1083" s="644"/>
      <c r="V1083" s="644"/>
      <c r="W1083" s="644"/>
      <c r="X1083" s="644"/>
      <c r="Y1083" s="644"/>
      <c r="Z1083" s="644"/>
    </row>
    <row r="1084" spans="4:26">
      <c r="D1084" s="35"/>
      <c r="E1084" s="35"/>
      <c r="F1084" s="1195">
        <v>0</v>
      </c>
      <c r="G1084" s="1196">
        <f t="shared" ref="G1084:P1093" si="12">IF($F1084&gt;=G$1083,0,(1-($F1084^$T$1082*$F1084)-(1-(G$1083^$T$1082*G$1083)))/(G$1083-$F1084))</f>
        <v>0.44668359215096265</v>
      </c>
      <c r="H1084" s="1197">
        <f t="shared" si="12"/>
        <v>0.56932531942515296</v>
      </c>
      <c r="I1084" s="1197">
        <f t="shared" si="12"/>
        <v>0.65613384324384172</v>
      </c>
      <c r="J1084" s="1197">
        <f t="shared" si="12"/>
        <v>0.72563963627526229</v>
      </c>
      <c r="K1084" s="1198">
        <f t="shared" si="12"/>
        <v>0.78458409789675088</v>
      </c>
      <c r="L1084" s="1198">
        <f t="shared" si="12"/>
        <v>0.83628236285026913</v>
      </c>
      <c r="M1084" s="1199">
        <f t="shared" si="12"/>
        <v>0.88264144060340211</v>
      </c>
      <c r="N1084" s="1199">
        <f t="shared" si="12"/>
        <v>0.92487171001871959</v>
      </c>
      <c r="O1084" s="1199">
        <f t="shared" si="12"/>
        <v>0.96379546465283339</v>
      </c>
      <c r="P1084" s="1200">
        <f t="shared" si="12"/>
        <v>1</v>
      </c>
      <c r="Q1084"/>
      <c r="R1084"/>
      <c r="S1084" s="644"/>
      <c r="T1084" s="644"/>
      <c r="U1084" s="644"/>
      <c r="V1084" s="644"/>
      <c r="W1084" s="644"/>
      <c r="X1084" s="644"/>
      <c r="Y1084" s="644"/>
      <c r="Z1084" s="644"/>
    </row>
    <row r="1085" spans="4:26">
      <c r="D1085" s="35"/>
      <c r="E1085" s="35"/>
      <c r="F1085" s="1201">
        <v>0.1</v>
      </c>
      <c r="G1085" s="1202">
        <f t="shared" si="12"/>
        <v>0</v>
      </c>
      <c r="H1085" s="1203">
        <f t="shared" si="12"/>
        <v>0.69196704669934328</v>
      </c>
      <c r="I1085" s="1203">
        <f t="shared" si="12"/>
        <v>0.76085896879028125</v>
      </c>
      <c r="J1085" s="1203">
        <f t="shared" si="12"/>
        <v>0.8186249843166955</v>
      </c>
      <c r="K1085" s="1204">
        <f t="shared" si="12"/>
        <v>0.86905922433319793</v>
      </c>
      <c r="L1085" s="1204">
        <f t="shared" si="12"/>
        <v>0.91420211699013043</v>
      </c>
      <c r="M1085" s="1205">
        <f t="shared" si="12"/>
        <v>0.95530108201214203</v>
      </c>
      <c r="N1085" s="1205">
        <f t="shared" si="12"/>
        <v>0.993184298285542</v>
      </c>
      <c r="O1085" s="1205">
        <f t="shared" si="12"/>
        <v>1.0284344487155672</v>
      </c>
      <c r="P1085" s="1206">
        <f t="shared" si="12"/>
        <v>1.0614796008721152</v>
      </c>
      <c r="Q1085"/>
      <c r="R1085"/>
      <c r="U1085" s="644"/>
      <c r="V1085" s="644"/>
      <c r="W1085" s="644"/>
      <c r="X1085" s="644"/>
      <c r="Y1085" s="644"/>
      <c r="Z1085" s="644"/>
    </row>
    <row r="1086" spans="4:26">
      <c r="D1086" s="35"/>
      <c r="E1086" s="35"/>
      <c r="F1086" s="1201">
        <v>0.2</v>
      </c>
      <c r="G1086" s="1202">
        <f t="shared" si="12"/>
        <v>0</v>
      </c>
      <c r="H1086" s="1207">
        <f t="shared" si="12"/>
        <v>0</v>
      </c>
      <c r="I1086" s="1203">
        <f t="shared" si="12"/>
        <v>0.82975089088121923</v>
      </c>
      <c r="J1086" s="1203">
        <f t="shared" si="12"/>
        <v>0.88195395312537173</v>
      </c>
      <c r="K1086" s="1204">
        <f t="shared" si="12"/>
        <v>0.92808995021114948</v>
      </c>
      <c r="L1086" s="1204">
        <f t="shared" si="12"/>
        <v>0.96976088456282727</v>
      </c>
      <c r="M1086" s="1205">
        <f t="shared" si="12"/>
        <v>1.0079678890747019</v>
      </c>
      <c r="N1086" s="1205">
        <f t="shared" si="12"/>
        <v>1.0433871735499085</v>
      </c>
      <c r="O1086" s="1205">
        <f t="shared" si="12"/>
        <v>1.0765012204321707</v>
      </c>
      <c r="P1086" s="1206">
        <f t="shared" si="12"/>
        <v>1.1076686701437117</v>
      </c>
      <c r="Q1086"/>
      <c r="R1086"/>
      <c r="U1086" s="644"/>
      <c r="V1086" s="644"/>
      <c r="W1086" s="644"/>
      <c r="X1086" s="644"/>
      <c r="Y1086" s="644"/>
      <c r="Z1086" s="644"/>
    </row>
    <row r="1087" spans="4:26">
      <c r="D1087" s="35"/>
      <c r="E1087" s="35"/>
      <c r="F1087" s="1201">
        <v>0.3</v>
      </c>
      <c r="G1087" s="1202">
        <f t="shared" si="12"/>
        <v>0</v>
      </c>
      <c r="H1087" s="1207">
        <f t="shared" si="12"/>
        <v>0</v>
      </c>
      <c r="I1087" s="1207">
        <f t="shared" si="12"/>
        <v>0</v>
      </c>
      <c r="J1087" s="1203">
        <f t="shared" si="12"/>
        <v>0.93415701536952411</v>
      </c>
      <c r="K1087" s="1204">
        <f t="shared" si="12"/>
        <v>0.97725947987611472</v>
      </c>
      <c r="L1087" s="1204">
        <f t="shared" si="12"/>
        <v>1.0164308824566968</v>
      </c>
      <c r="M1087" s="1205">
        <f t="shared" si="12"/>
        <v>1.0525221386230725</v>
      </c>
      <c r="N1087" s="1205">
        <f t="shared" si="12"/>
        <v>1.0861144300836465</v>
      </c>
      <c r="O1087" s="1205">
        <f t="shared" si="12"/>
        <v>1.1176262753573292</v>
      </c>
      <c r="P1087" s="1206">
        <f t="shared" si="12"/>
        <v>1.1473712100383537</v>
      </c>
      <c r="Q1087"/>
      <c r="R1087"/>
      <c r="U1087" s="644"/>
      <c r="V1087" s="644"/>
      <c r="W1087" s="644"/>
      <c r="X1087" s="644"/>
      <c r="Y1087" s="644"/>
      <c r="Z1087" s="644"/>
    </row>
    <row r="1088" spans="4:26">
      <c r="D1088" s="35"/>
      <c r="E1088" s="35"/>
      <c r="F1088" s="1201">
        <v>0.4</v>
      </c>
      <c r="G1088" s="1202">
        <f t="shared" si="12"/>
        <v>0</v>
      </c>
      <c r="H1088" s="1207">
        <f t="shared" si="12"/>
        <v>0</v>
      </c>
      <c r="I1088" s="1207">
        <f t="shared" si="12"/>
        <v>0</v>
      </c>
      <c r="J1088" s="1207">
        <f t="shared" si="12"/>
        <v>0</v>
      </c>
      <c r="K1088" s="1204">
        <f t="shared" si="12"/>
        <v>1.0203619443827052</v>
      </c>
      <c r="L1088" s="1204">
        <f t="shared" si="12"/>
        <v>1.057567816000283</v>
      </c>
      <c r="M1088" s="1205">
        <f t="shared" si="12"/>
        <v>1.0919771797075886</v>
      </c>
      <c r="N1088" s="1205">
        <f t="shared" si="12"/>
        <v>1.124103783762177</v>
      </c>
      <c r="O1088" s="1205">
        <f t="shared" si="12"/>
        <v>1.1543201273548902</v>
      </c>
      <c r="P1088" s="1206">
        <f t="shared" si="12"/>
        <v>1.1829069091498252</v>
      </c>
      <c r="Q1088"/>
      <c r="R1088"/>
      <c r="U1088" s="644"/>
      <c r="V1088" s="644"/>
      <c r="W1088" s="644"/>
      <c r="X1088" s="644"/>
      <c r="Y1088" s="644"/>
      <c r="Z1088" s="644"/>
    </row>
    <row r="1089" spans="2:26">
      <c r="D1089" s="35"/>
      <c r="E1089" s="35"/>
      <c r="F1089" s="1201">
        <v>0.5</v>
      </c>
      <c r="G1089" s="1202">
        <f t="shared" si="12"/>
        <v>0</v>
      </c>
      <c r="H1089" s="1207">
        <f t="shared" si="12"/>
        <v>0</v>
      </c>
      <c r="I1089" s="1207">
        <f t="shared" si="12"/>
        <v>0</v>
      </c>
      <c r="J1089" s="1207">
        <f t="shared" si="12"/>
        <v>0</v>
      </c>
      <c r="K1089" s="1204">
        <f t="shared" si="12"/>
        <v>0</v>
      </c>
      <c r="L1089" s="1204">
        <f t="shared" si="12"/>
        <v>1.0947736876178606</v>
      </c>
      <c r="M1089" s="1205">
        <f t="shared" si="12"/>
        <v>1.1277847973700303</v>
      </c>
      <c r="N1089" s="1205">
        <f t="shared" si="12"/>
        <v>1.1586843968886675</v>
      </c>
      <c r="O1089" s="1205">
        <f t="shared" si="12"/>
        <v>1.1878096730979364</v>
      </c>
      <c r="P1089" s="1206">
        <f t="shared" si="12"/>
        <v>1.2154159021032491</v>
      </c>
      <c r="Q1089"/>
      <c r="R1089"/>
      <c r="U1089" s="644"/>
      <c r="V1089" s="644"/>
      <c r="W1089" s="644"/>
      <c r="X1089" s="644"/>
      <c r="Y1089" s="644"/>
      <c r="Z1089" s="644"/>
    </row>
    <row r="1090" spans="2:26">
      <c r="D1090" s="35"/>
      <c r="E1090" s="35"/>
      <c r="F1090" s="1201">
        <v>0.6</v>
      </c>
      <c r="G1090" s="1202">
        <f t="shared" si="12"/>
        <v>0</v>
      </c>
      <c r="H1090" s="1207">
        <f t="shared" si="12"/>
        <v>0</v>
      </c>
      <c r="I1090" s="1207">
        <f t="shared" si="12"/>
        <v>0</v>
      </c>
      <c r="J1090" s="1207">
        <f t="shared" si="12"/>
        <v>0</v>
      </c>
      <c r="K1090" s="1204">
        <f t="shared" si="12"/>
        <v>0</v>
      </c>
      <c r="L1090" s="1207">
        <f t="shared" si="12"/>
        <v>0</v>
      </c>
      <c r="M1090" s="1205">
        <f t="shared" si="12"/>
        <v>1.1607959071221998</v>
      </c>
      <c r="N1090" s="1205">
        <f t="shared" si="12"/>
        <v>1.190639751524071</v>
      </c>
      <c r="O1090" s="1205">
        <f t="shared" si="12"/>
        <v>1.2188216682579618</v>
      </c>
      <c r="P1090" s="1206">
        <f t="shared" si="12"/>
        <v>1.2455764557245963</v>
      </c>
      <c r="Q1090"/>
      <c r="R1090"/>
      <c r="U1090" s="644"/>
      <c r="V1090" s="644"/>
      <c r="W1090" s="644"/>
      <c r="X1090" s="644"/>
      <c r="Y1090" s="644"/>
      <c r="Z1090" s="644"/>
    </row>
    <row r="1091" spans="2:26">
      <c r="D1091" s="35"/>
      <c r="E1091" s="35"/>
      <c r="F1091" s="1201">
        <v>0.7</v>
      </c>
      <c r="G1091" s="1202">
        <f t="shared" si="12"/>
        <v>0</v>
      </c>
      <c r="H1091" s="1207">
        <f t="shared" si="12"/>
        <v>0</v>
      </c>
      <c r="I1091" s="1207">
        <f t="shared" si="12"/>
        <v>0</v>
      </c>
      <c r="J1091" s="1207">
        <f t="shared" si="12"/>
        <v>0</v>
      </c>
      <c r="K1091" s="1204">
        <f t="shared" si="12"/>
        <v>0</v>
      </c>
      <c r="L1091" s="1207">
        <f t="shared" si="12"/>
        <v>0</v>
      </c>
      <c r="M1091" s="1207">
        <f t="shared" si="12"/>
        <v>0</v>
      </c>
      <c r="N1091" s="1205">
        <f t="shared" si="12"/>
        <v>1.2204835959259419</v>
      </c>
      <c r="O1091" s="1205">
        <f t="shared" si="12"/>
        <v>1.2478345488258427</v>
      </c>
      <c r="P1091" s="1206">
        <f t="shared" si="12"/>
        <v>1.2738366385920616</v>
      </c>
      <c r="Q1091"/>
      <c r="R1091"/>
      <c r="U1091" s="644"/>
      <c r="V1091" s="644"/>
      <c r="W1091" s="644"/>
      <c r="X1091" s="644"/>
      <c r="Y1091" s="644"/>
      <c r="Z1091" s="644"/>
    </row>
    <row r="1092" spans="2:26">
      <c r="D1092" s="35"/>
      <c r="E1092" s="35"/>
      <c r="F1092" s="1201">
        <v>0.8</v>
      </c>
      <c r="G1092" s="1202">
        <f t="shared" si="12"/>
        <v>0</v>
      </c>
      <c r="H1092" s="1207">
        <f t="shared" si="12"/>
        <v>0</v>
      </c>
      <c r="I1092" s="1207">
        <f t="shared" si="12"/>
        <v>0</v>
      </c>
      <c r="J1092" s="1207">
        <f t="shared" si="12"/>
        <v>0</v>
      </c>
      <c r="K1092" s="1204">
        <f t="shared" si="12"/>
        <v>0</v>
      </c>
      <c r="L1092" s="1207">
        <f t="shared" si="12"/>
        <v>0</v>
      </c>
      <c r="M1092" s="1207">
        <f t="shared" si="12"/>
        <v>0</v>
      </c>
      <c r="N1092" s="1205">
        <f t="shared" si="12"/>
        <v>0</v>
      </c>
      <c r="O1092" s="1205">
        <f t="shared" si="12"/>
        <v>1.2751855017257432</v>
      </c>
      <c r="P1092" s="1206">
        <f t="shared" si="12"/>
        <v>1.3005131599251216</v>
      </c>
      <c r="Q1092"/>
      <c r="R1092"/>
      <c r="S1092" s="644"/>
      <c r="T1092" s="644"/>
      <c r="U1092" s="644"/>
      <c r="V1092" s="644"/>
      <c r="W1092" s="644"/>
      <c r="X1092" s="644"/>
      <c r="Y1092" s="644"/>
      <c r="Z1092" s="644"/>
    </row>
    <row r="1093" spans="2:26">
      <c r="D1093" s="35"/>
      <c r="E1093" s="35"/>
      <c r="F1093" s="1208">
        <v>0.9</v>
      </c>
      <c r="G1093" s="1209">
        <f t="shared" si="12"/>
        <v>0</v>
      </c>
      <c r="H1093" s="1210">
        <f t="shared" si="12"/>
        <v>0</v>
      </c>
      <c r="I1093" s="1210">
        <f t="shared" si="12"/>
        <v>0</v>
      </c>
      <c r="J1093" s="1210">
        <f t="shared" si="12"/>
        <v>0</v>
      </c>
      <c r="K1093" s="1211">
        <f t="shared" si="12"/>
        <v>0</v>
      </c>
      <c r="L1093" s="1211">
        <f t="shared" si="12"/>
        <v>0</v>
      </c>
      <c r="M1093" s="1212">
        <f t="shared" si="12"/>
        <v>0</v>
      </c>
      <c r="N1093" s="1212">
        <f t="shared" si="12"/>
        <v>0</v>
      </c>
      <c r="O1093" s="1212">
        <f t="shared" si="12"/>
        <v>0</v>
      </c>
      <c r="P1093" s="1213">
        <f t="shared" si="12"/>
        <v>1.3258408181244998</v>
      </c>
      <c r="Q1093"/>
      <c r="R1093"/>
      <c r="S1093" s="644"/>
      <c r="T1093" s="644"/>
      <c r="U1093" s="644"/>
      <c r="V1093" s="644"/>
      <c r="W1093" s="644"/>
      <c r="X1093" s="644"/>
      <c r="Y1093" s="644"/>
      <c r="Z1093" s="644"/>
    </row>
    <row r="1094" spans="2:26">
      <c r="D1094" s="35"/>
      <c r="E1094" s="35"/>
      <c r="F1094" s="653" t="s">
        <v>1017</v>
      </c>
      <c r="G1094" s="644"/>
      <c r="H1094" s="644"/>
      <c r="I1094" s="644"/>
      <c r="J1094" s="644"/>
      <c r="K1094" s="645"/>
      <c r="L1094" s="645"/>
      <c r="M1094" s="654"/>
      <c r="N1094" s="654"/>
      <c r="O1094" s="654"/>
      <c r="P1094" s="654"/>
      <c r="Q1094" s="644"/>
      <c r="R1094" s="644"/>
      <c r="S1094" s="644"/>
      <c r="T1094" s="644"/>
      <c r="U1094" s="644"/>
      <c r="V1094" s="644"/>
      <c r="W1094" s="644"/>
      <c r="X1094" s="644"/>
      <c r="Y1094" s="644"/>
      <c r="Z1094" s="644"/>
    </row>
    <row r="1095" spans="2:26">
      <c r="D1095" s="35"/>
      <c r="E1095" s="35"/>
      <c r="F1095" s="653"/>
      <c r="G1095" s="644"/>
      <c r="H1095" s="644"/>
      <c r="I1095" s="644"/>
      <c r="J1095" s="644"/>
      <c r="K1095" s="645"/>
      <c r="L1095" s="645"/>
      <c r="M1095" s="654"/>
      <c r="N1095" s="654"/>
      <c r="O1095" s="654"/>
      <c r="P1095" s="654"/>
      <c r="Q1095" s="644"/>
      <c r="R1095" s="644"/>
      <c r="S1095" s="644"/>
      <c r="T1095" s="644"/>
      <c r="U1095" s="644"/>
      <c r="V1095" s="644"/>
      <c r="W1095" s="644"/>
      <c r="X1095" s="644"/>
      <c r="Y1095" s="644"/>
      <c r="Z1095" s="644"/>
    </row>
    <row r="1096" spans="2:26">
      <c r="C1096" s="197" t="s">
        <v>60</v>
      </c>
      <c r="D1096" s="35"/>
      <c r="E1096" s="35"/>
      <c r="F1096" s="644"/>
      <c r="G1096" s="644"/>
      <c r="H1096" s="644"/>
      <c r="I1096" s="644"/>
      <c r="J1096" s="644"/>
      <c r="K1096" s="644"/>
      <c r="L1096" s="644"/>
      <c r="M1096" s="644"/>
      <c r="N1096" s="644"/>
      <c r="O1096" s="644"/>
      <c r="P1096" s="644"/>
      <c r="Q1096" s="644"/>
      <c r="R1096" s="644"/>
      <c r="S1096" s="644"/>
      <c r="T1096" s="644"/>
      <c r="U1096" s="644"/>
      <c r="V1096" s="644"/>
      <c r="W1096" s="644"/>
      <c r="X1096" s="644"/>
      <c r="Y1096" s="644"/>
      <c r="Z1096" s="644"/>
    </row>
    <row r="1097" spans="2:26" ht="18.600000000000001">
      <c r="B1097" s="182"/>
      <c r="C1097" s="37" t="s">
        <v>1010</v>
      </c>
      <c r="E1097" s="35"/>
      <c r="F1097" s="35"/>
      <c r="G1097" s="35"/>
      <c r="H1097" s="35"/>
      <c r="I1097" s="35"/>
      <c r="J1097" s="35"/>
      <c r="K1097" s="35"/>
      <c r="L1097" s="35"/>
      <c r="M1097" s="35"/>
      <c r="N1097" s="35"/>
      <c r="O1097" s="35"/>
      <c r="P1097" s="35"/>
    </row>
    <row r="1098" spans="2:26">
      <c r="C1098" s="33" t="s">
        <v>166</v>
      </c>
      <c r="E1098" s="35"/>
      <c r="F1098" s="35"/>
      <c r="G1098" s="35"/>
      <c r="H1098" s="35"/>
      <c r="I1098" s="35"/>
      <c r="J1098" s="35"/>
      <c r="K1098" s="35"/>
      <c r="L1098" s="35"/>
      <c r="M1098" s="35"/>
      <c r="N1098" s="35"/>
      <c r="O1098" s="35"/>
      <c r="P1098" s="35"/>
    </row>
    <row r="1099" spans="2:26">
      <c r="C1099" s="33" t="s">
        <v>3</v>
      </c>
      <c r="E1099" s="35"/>
      <c r="F1099" s="35"/>
      <c r="G1099" s="35"/>
      <c r="H1099" s="35"/>
      <c r="I1099" s="35"/>
      <c r="J1099" s="35"/>
      <c r="K1099" s="35"/>
      <c r="L1099" s="35"/>
      <c r="M1099" s="35"/>
      <c r="N1099" s="35"/>
      <c r="O1099" s="35"/>
      <c r="P1099" s="35"/>
    </row>
    <row r="1100" spans="2:26">
      <c r="C1100" s="98" t="s">
        <v>1285</v>
      </c>
      <c r="E1100" s="35"/>
      <c r="H1100" s="658">
        <v>7</v>
      </c>
      <c r="I1100" s="35" t="s">
        <v>1020</v>
      </c>
      <c r="J1100" s="35"/>
      <c r="K1100" s="35"/>
      <c r="L1100" s="35"/>
      <c r="M1100" s="35"/>
      <c r="N1100" s="35"/>
      <c r="O1100" s="35"/>
      <c r="P1100" s="35"/>
      <c r="R1100" s="178"/>
      <c r="T1100" s="33">
        <f>5.5</f>
        <v>5.5</v>
      </c>
    </row>
    <row r="1101" spans="2:26" ht="18.600000000000001">
      <c r="B1101" s="182"/>
      <c r="C1101" s="35" t="s">
        <v>167</v>
      </c>
      <c r="D1101" s="35"/>
      <c r="E1101" s="35"/>
      <c r="F1101" s="35"/>
      <c r="G1101" s="35"/>
      <c r="H1101" s="35"/>
      <c r="I1101" s="35"/>
      <c r="J1101" s="35"/>
      <c r="K1101" s="35"/>
      <c r="L1101" s="35"/>
      <c r="M1101" s="35"/>
      <c r="N1101" s="35"/>
      <c r="O1101" s="35"/>
      <c r="P1101" s="35"/>
      <c r="T1101" s="33">
        <f>T1100*1.16</f>
        <v>6.38</v>
      </c>
    </row>
    <row r="1102" spans="2:26">
      <c r="C1102" s="35" t="s">
        <v>1019</v>
      </c>
      <c r="D1102" s="35"/>
      <c r="E1102" s="35"/>
      <c r="F1102" s="35"/>
      <c r="G1102" s="35"/>
      <c r="H1102" s="35"/>
      <c r="I1102" s="35"/>
      <c r="J1102" s="35"/>
      <c r="K1102" s="35"/>
      <c r="L1102" s="35"/>
      <c r="M1102" s="35"/>
      <c r="N1102" s="35"/>
      <c r="O1102" s="35"/>
      <c r="P1102" s="35"/>
    </row>
    <row r="1103" spans="2:26">
      <c r="C1103" s="35" t="s">
        <v>1022</v>
      </c>
      <c r="D1103" s="35"/>
      <c r="E1103" s="35"/>
      <c r="F1103" s="35"/>
      <c r="G1103" s="35"/>
      <c r="H1103" s="35"/>
      <c r="I1103" s="35"/>
      <c r="J1103" s="35"/>
    </row>
    <row r="1104" spans="2:26">
      <c r="C1104" s="35"/>
      <c r="D1104" s="35"/>
      <c r="E1104" s="35"/>
      <c r="F1104" s="655">
        <v>0.9</v>
      </c>
      <c r="G1104" s="50" t="s">
        <v>267</v>
      </c>
      <c r="H1104" s="658">
        <f>H1100</f>
        <v>7</v>
      </c>
      <c r="I1104" s="33" t="s">
        <v>1021</v>
      </c>
      <c r="J1104" s="49" t="s">
        <v>63</v>
      </c>
      <c r="K1104" s="658">
        <f>F1104*H1104</f>
        <v>6.3</v>
      </c>
      <c r="L1104" s="33" t="s">
        <v>1021</v>
      </c>
      <c r="M1104" s="35"/>
      <c r="N1104" s="656"/>
      <c r="P1104" s="657"/>
    </row>
    <row r="1105" spans="2:18" ht="18.600000000000001">
      <c r="B1105" s="182"/>
      <c r="C1105" s="35" t="s">
        <v>168</v>
      </c>
      <c r="D1105" s="35"/>
      <c r="E1105" s="35"/>
      <c r="F1105" s="35"/>
      <c r="G1105" s="35"/>
      <c r="H1105" s="35"/>
      <c r="I1105" s="35"/>
      <c r="J1105" s="35"/>
      <c r="M1105" s="35"/>
      <c r="N1105" s="35"/>
      <c r="O1105" s="35"/>
      <c r="P1105" s="35"/>
      <c r="Q1105" s="35"/>
      <c r="R1105" s="35"/>
    </row>
    <row r="1106" spans="2:18">
      <c r="C1106" s="35" t="s">
        <v>1023</v>
      </c>
      <c r="D1106" s="35"/>
      <c r="E1106" s="35"/>
      <c r="F1106" s="35"/>
      <c r="G1106" s="35"/>
      <c r="H1106" s="35"/>
      <c r="I1106" s="35"/>
      <c r="J1106" s="35"/>
      <c r="M1106" s="35"/>
      <c r="N1106" s="35"/>
      <c r="O1106" s="35"/>
      <c r="P1106" s="35"/>
      <c r="Q1106" s="35"/>
      <c r="R1106" s="35"/>
    </row>
    <row r="1107" spans="2:18">
      <c r="C1107" s="35" t="s">
        <v>555</v>
      </c>
      <c r="D1107" s="35" t="s">
        <v>169</v>
      </c>
      <c r="H1107" s="35"/>
      <c r="I1107" s="35"/>
      <c r="J1107" s="35"/>
      <c r="M1107" s="35"/>
      <c r="N1107" s="35"/>
      <c r="O1107" s="35"/>
      <c r="R1107" s="35"/>
    </row>
    <row r="1108" spans="2:18">
      <c r="C1108" s="35"/>
      <c r="D1108" s="35"/>
      <c r="F1108" s="655">
        <f>P1073</f>
        <v>1.1938331896406433</v>
      </c>
      <c r="G1108" s="50" t="s">
        <v>267</v>
      </c>
      <c r="H1108" s="658">
        <f>H1100</f>
        <v>7</v>
      </c>
      <c r="I1108" s="33" t="s">
        <v>1021</v>
      </c>
      <c r="J1108" s="49" t="s">
        <v>63</v>
      </c>
      <c r="K1108" s="658">
        <f>F1108*H1108</f>
        <v>8.3568323274845042</v>
      </c>
      <c r="L1108" s="33" t="s">
        <v>1021</v>
      </c>
      <c r="M1108" s="35"/>
      <c r="N1108" s="35"/>
      <c r="O1108" s="35"/>
      <c r="R1108" s="35"/>
    </row>
    <row r="1109" spans="2:18">
      <c r="C1109" s="35" t="s">
        <v>555</v>
      </c>
      <c r="D1109" s="35" t="s">
        <v>170</v>
      </c>
      <c r="H1109" s="35"/>
      <c r="I1109" s="35"/>
      <c r="J1109" s="35"/>
      <c r="M1109" s="35"/>
      <c r="N1109" s="35"/>
      <c r="O1109" s="35"/>
      <c r="R1109" s="35"/>
    </row>
    <row r="1110" spans="2:18">
      <c r="D1110" s="35"/>
      <c r="E1110" s="35"/>
      <c r="F1110" s="655">
        <f>N1073</f>
        <v>1.1024499710967659</v>
      </c>
      <c r="G1110" s="50" t="s">
        <v>267</v>
      </c>
      <c r="H1110" s="658">
        <f>H1100</f>
        <v>7</v>
      </c>
      <c r="I1110" s="33" t="s">
        <v>1021</v>
      </c>
      <c r="J1110" s="49" t="s">
        <v>63</v>
      </c>
      <c r="K1110" s="658">
        <f>F1110*H1110</f>
        <v>7.7171497976773615</v>
      </c>
      <c r="L1110" s="33" t="s">
        <v>1021</v>
      </c>
      <c r="M1110" s="35"/>
      <c r="N1110" s="35"/>
      <c r="O1110" s="35"/>
    </row>
    <row r="1111" spans="2:18">
      <c r="D1111" s="35"/>
      <c r="E1111" s="35"/>
      <c r="F1111" s="35"/>
      <c r="G1111" s="35"/>
      <c r="H1111" s="35"/>
      <c r="I1111" s="35"/>
      <c r="J1111" s="35"/>
      <c r="K1111" s="35"/>
      <c r="L1111" s="35"/>
      <c r="M1111" s="35"/>
      <c r="N1111" s="35"/>
      <c r="O1111" s="35"/>
      <c r="P1111" s="35"/>
      <c r="Q1111" s="35"/>
      <c r="R1111" s="35"/>
    </row>
    <row r="1112" spans="2:18">
      <c r="C1112" s="33" t="s">
        <v>617</v>
      </c>
      <c r="D1112" s="35"/>
      <c r="E1112" s="35"/>
      <c r="F1112" s="35"/>
      <c r="G1112" s="35"/>
      <c r="H1112" s="35"/>
      <c r="I1112" s="35"/>
      <c r="J1112" s="35"/>
      <c r="K1112" s="35"/>
      <c r="L1112" s="35"/>
      <c r="M1112" s="35"/>
      <c r="N1112" s="35"/>
      <c r="O1112" s="35"/>
      <c r="P1112" s="35"/>
      <c r="Q1112" s="35"/>
      <c r="R1112" s="35"/>
    </row>
    <row r="1113" spans="2:18">
      <c r="C1113" s="37" t="s">
        <v>618</v>
      </c>
      <c r="D1113" s="35"/>
      <c r="E1113" s="35"/>
      <c r="F1113" s="35"/>
      <c r="G1113" s="35"/>
      <c r="H1113" s="35"/>
      <c r="I1113" s="35"/>
      <c r="J1113" s="35"/>
      <c r="K1113" s="35"/>
      <c r="L1113" s="35"/>
      <c r="M1113" s="35"/>
      <c r="N1113" s="35"/>
      <c r="O1113" s="35"/>
      <c r="P1113" s="35"/>
      <c r="Q1113" s="35"/>
      <c r="R1113" s="35"/>
    </row>
    <row r="1114" spans="2:18">
      <c r="D1114" s="35"/>
      <c r="E1114" s="35"/>
      <c r="F1114" s="35"/>
      <c r="G1114" s="35"/>
      <c r="H1114" s="35"/>
      <c r="I1114" s="35"/>
      <c r="J1114" s="35"/>
      <c r="K1114" s="35"/>
      <c r="L1114" s="35"/>
      <c r="M1114" s="35"/>
      <c r="N1114" s="35"/>
      <c r="O1114" s="35"/>
      <c r="P1114" s="35"/>
      <c r="Q1114" s="35"/>
      <c r="R1114" s="35"/>
    </row>
    <row r="1115" spans="2:18">
      <c r="B1115" s="105">
        <f>1+B1065</f>
        <v>12</v>
      </c>
      <c r="C1115" s="103" t="str">
        <f>"Übersicht "&amp;FIXED(B1115,0)&amp;":"</f>
        <v>Übersicht 12:</v>
      </c>
      <c r="E1115"/>
      <c r="F1115"/>
      <c r="G1115" s="92" t="s">
        <v>1035</v>
      </c>
      <c r="H1115" s="35"/>
      <c r="I1115" s="35"/>
      <c r="J1115" s="35"/>
      <c r="K1115" s="35"/>
      <c r="L1115" s="35"/>
      <c r="M1115" s="35"/>
      <c r="N1115" s="35"/>
      <c r="O1115" s="35"/>
      <c r="Q1115" s="35"/>
      <c r="R1115" s="35"/>
    </row>
    <row r="1116" spans="2:18">
      <c r="B1116" s="35"/>
      <c r="C1116" s="35"/>
      <c r="D1116" s="35"/>
      <c r="E1116" s="35"/>
      <c r="F1116" s="35"/>
      <c r="G1116" s="79" t="s">
        <v>1028</v>
      </c>
      <c r="H1116" s="35"/>
      <c r="I1116" s="35"/>
      <c r="J1116" s="35"/>
      <c r="K1116" s="35"/>
      <c r="L1116" s="35"/>
      <c r="M1116" s="35"/>
      <c r="N1116" s="35"/>
      <c r="O1116" s="35"/>
      <c r="P1116" s="57"/>
      <c r="Q1116" s="35"/>
      <c r="R1116" s="35"/>
    </row>
    <row r="1117" spans="2:18">
      <c r="D1117" s="35"/>
      <c r="E1117" s="35"/>
      <c r="F1117" s="35"/>
      <c r="G1117" s="35"/>
      <c r="H1117" s="35"/>
      <c r="I1117" s="35"/>
      <c r="J1117" s="35"/>
      <c r="K1117" s="35"/>
      <c r="L1117" s="35"/>
      <c r="M1117" s="35"/>
      <c r="N1117" s="35"/>
      <c r="O1117" s="35"/>
      <c r="P1117" s="35"/>
      <c r="Q1117" s="35"/>
      <c r="R1117" s="35"/>
    </row>
    <row r="1118" spans="2:18">
      <c r="D1118" s="35"/>
      <c r="E1118" s="35"/>
      <c r="F1118" s="35"/>
      <c r="G1118" s="35"/>
      <c r="H1118" s="35"/>
      <c r="I1118" s="35"/>
      <c r="J1118" s="35"/>
      <c r="K1118" s="35"/>
      <c r="L1118" s="35"/>
      <c r="M1118" s="35"/>
      <c r="N1118" s="35"/>
      <c r="O1118" s="35"/>
      <c r="P1118" s="35"/>
      <c r="Q1118" s="35"/>
    </row>
    <row r="1119" spans="2:18">
      <c r="D1119" s="35"/>
      <c r="E1119" s="35"/>
      <c r="F1119" s="35"/>
      <c r="G1119" s="35"/>
      <c r="H1119" s="35"/>
      <c r="I1119" s="35"/>
      <c r="J1119" s="35"/>
      <c r="K1119" s="35"/>
      <c r="L1119" s="35"/>
      <c r="M1119" s="35"/>
      <c r="N1119" s="35"/>
      <c r="O1119" s="35"/>
      <c r="P1119" s="35"/>
      <c r="Q1119" s="35"/>
    </row>
    <row r="1120" spans="2:18">
      <c r="D1120" s="35"/>
      <c r="E1120" s="35"/>
      <c r="F1120" s="35"/>
      <c r="G1120" s="35"/>
      <c r="H1120" s="35"/>
      <c r="I1120" s="35"/>
      <c r="J1120" s="35"/>
      <c r="K1120" s="35"/>
      <c r="L1120" s="35"/>
      <c r="M1120" s="35"/>
      <c r="N1120" s="35"/>
      <c r="O1120" s="35"/>
      <c r="P1120" s="35"/>
      <c r="Q1120" s="35"/>
    </row>
    <row r="1121" spans="3:18">
      <c r="D1121" s="35"/>
      <c r="E1121" s="35"/>
      <c r="F1121" s="35"/>
      <c r="G1121" s="35"/>
      <c r="H1121" s="35"/>
      <c r="I1121" s="35"/>
      <c r="J1121" s="35"/>
      <c r="K1121" s="35"/>
      <c r="L1121" s="35"/>
      <c r="M1121" s="35"/>
      <c r="N1121" s="35"/>
      <c r="O1121" s="35"/>
      <c r="P1121" s="35"/>
      <c r="Q1121" s="35"/>
    </row>
    <row r="1122" spans="3:18">
      <c r="D1122" s="35"/>
      <c r="E1122" s="35"/>
      <c r="F1122" s="35"/>
      <c r="G1122" s="35"/>
      <c r="H1122" s="35"/>
      <c r="I1122" s="35"/>
      <c r="J1122" s="35"/>
      <c r="K1122" s="35"/>
      <c r="L1122" s="35"/>
      <c r="M1122" s="35"/>
      <c r="N1122" s="35"/>
      <c r="O1122" s="35"/>
      <c r="P1122" s="35"/>
      <c r="Q1122" s="35"/>
    </row>
    <row r="1123" spans="3:18">
      <c r="D1123" s="35"/>
      <c r="E1123" s="35"/>
      <c r="F1123" s="35"/>
      <c r="G1123" s="35"/>
      <c r="H1123" s="35"/>
      <c r="I1123" s="35"/>
      <c r="J1123" s="35"/>
      <c r="K1123" s="35"/>
      <c r="L1123" s="35"/>
      <c r="M1123" s="35"/>
      <c r="N1123" s="35"/>
      <c r="O1123" s="35"/>
      <c r="P1123" s="35"/>
      <c r="Q1123" s="35"/>
    </row>
    <row r="1124" spans="3:18">
      <c r="D1124" s="35"/>
      <c r="E1124" s="35"/>
      <c r="F1124" s="35"/>
      <c r="G1124" s="35"/>
      <c r="H1124" s="35"/>
      <c r="I1124" s="35"/>
      <c r="J1124" s="35"/>
      <c r="K1124" s="35"/>
      <c r="L1124" s="35"/>
      <c r="M1124" s="35"/>
      <c r="N1124" s="35"/>
      <c r="O1124" s="35"/>
      <c r="P1124" s="35"/>
      <c r="Q1124" s="35"/>
    </row>
    <row r="1125" spans="3:18">
      <c r="D1125" s="35"/>
      <c r="E1125" s="35"/>
      <c r="F1125" s="35"/>
      <c r="G1125" s="35"/>
      <c r="H1125" s="35"/>
      <c r="I1125" s="35"/>
      <c r="J1125" s="35"/>
      <c r="K1125" s="35"/>
      <c r="L1125" s="35"/>
      <c r="M1125" s="35"/>
      <c r="N1125" s="35"/>
      <c r="O1125" s="35"/>
      <c r="P1125" s="35"/>
      <c r="Q1125" s="35"/>
    </row>
    <row r="1126" spans="3:18">
      <c r="D1126" s="35"/>
      <c r="E1126" s="35"/>
      <c r="F1126" s="35"/>
      <c r="G1126" s="35"/>
      <c r="H1126" s="35"/>
      <c r="I1126" s="35"/>
      <c r="J1126" s="35"/>
      <c r="K1126" s="35"/>
      <c r="L1126" s="35"/>
      <c r="M1126" s="35"/>
      <c r="N1126" s="35"/>
      <c r="O1126" s="35"/>
      <c r="P1126" s="35"/>
      <c r="Q1126" s="35"/>
    </row>
    <row r="1127" spans="3:18">
      <c r="D1127" s="35"/>
      <c r="E1127" s="35"/>
      <c r="F1127" s="35"/>
      <c r="G1127" s="35"/>
      <c r="H1127" s="35"/>
      <c r="I1127" s="35"/>
      <c r="J1127" s="35"/>
      <c r="K1127" s="35"/>
      <c r="L1127" s="35"/>
      <c r="M1127" s="35"/>
      <c r="N1127" s="35"/>
      <c r="O1127" s="35"/>
      <c r="P1127" s="35"/>
      <c r="Q1127" s="35"/>
    </row>
    <row r="1128" spans="3:18">
      <c r="D1128" s="35"/>
      <c r="E1128" s="35"/>
      <c r="F1128" s="35"/>
      <c r="G1128" s="35"/>
      <c r="H1128" s="35"/>
      <c r="I1128" s="35"/>
      <c r="J1128" s="35"/>
      <c r="K1128" s="35"/>
      <c r="L1128" s="35"/>
      <c r="M1128" s="35"/>
      <c r="N1128" s="35"/>
      <c r="O1128" s="35"/>
      <c r="P1128" s="35"/>
      <c r="Q1128" s="35"/>
    </row>
    <row r="1129" spans="3:18">
      <c r="D1129" s="35"/>
      <c r="E1129" s="35"/>
      <c r="F1129" s="35"/>
      <c r="G1129" s="35"/>
      <c r="H1129" s="35"/>
      <c r="I1129" s="35"/>
      <c r="J1129" s="35"/>
      <c r="K1129" s="35"/>
      <c r="L1129" s="35"/>
      <c r="M1129" s="35"/>
      <c r="N1129" s="35"/>
      <c r="O1129" s="35"/>
      <c r="P1129" s="35"/>
      <c r="Q1129" s="35"/>
    </row>
    <row r="1130" spans="3:18">
      <c r="D1130" s="35"/>
      <c r="E1130" s="35"/>
      <c r="F1130" s="35"/>
      <c r="G1130" s="35"/>
      <c r="H1130" s="35"/>
      <c r="I1130" s="35"/>
      <c r="J1130" s="35"/>
      <c r="K1130" s="35"/>
      <c r="L1130" s="35"/>
      <c r="M1130" s="35"/>
      <c r="N1130" s="35"/>
      <c r="O1130" s="35"/>
      <c r="P1130" s="35"/>
      <c r="Q1130" s="35"/>
    </row>
    <row r="1131" spans="3:18">
      <c r="C1131" s="37"/>
      <c r="D1131" s="35"/>
      <c r="E1131" s="35"/>
      <c r="F1131" s="35"/>
      <c r="G1131" s="35"/>
      <c r="H1131" s="35"/>
      <c r="I1131" s="35"/>
      <c r="J1131" s="35"/>
      <c r="K1131" s="35"/>
      <c r="L1131" s="35"/>
      <c r="M1131" s="35"/>
      <c r="N1131" s="35"/>
      <c r="O1131" s="35"/>
      <c r="P1131" s="35"/>
      <c r="Q1131" s="35"/>
      <c r="R1131" s="35"/>
    </row>
    <row r="1132" spans="3:18">
      <c r="C1132" s="37"/>
      <c r="D1132" s="35"/>
      <c r="E1132" s="35"/>
      <c r="F1132" s="35"/>
      <c r="G1132" s="35"/>
      <c r="H1132" s="35"/>
      <c r="I1132" s="35"/>
      <c r="J1132" s="35"/>
      <c r="K1132" s="35"/>
      <c r="L1132" s="35"/>
      <c r="M1132" s="35"/>
      <c r="N1132" s="35"/>
      <c r="O1132" s="35"/>
      <c r="P1132" s="35"/>
      <c r="Q1132" s="35"/>
      <c r="R1132" s="35"/>
    </row>
    <row r="1133" spans="3:18">
      <c r="C1133" s="37"/>
      <c r="D1133" s="35"/>
      <c r="E1133" s="35"/>
      <c r="F1133" s="35"/>
      <c r="G1133" s="35"/>
      <c r="H1133" s="35"/>
      <c r="I1133" s="35"/>
      <c r="J1133" s="35"/>
      <c r="K1133" s="35"/>
      <c r="L1133" s="35"/>
      <c r="M1133" s="35"/>
      <c r="N1133" s="35"/>
      <c r="O1133" s="35"/>
      <c r="P1133" s="35"/>
      <c r="Q1133" s="35"/>
      <c r="R1133" s="35"/>
    </row>
    <row r="1134" spans="3:18">
      <c r="C1134" s="37"/>
      <c r="D1134" s="35"/>
      <c r="E1134" s="35"/>
      <c r="F1134" s="35"/>
      <c r="G1134" s="35"/>
      <c r="H1134" s="35"/>
      <c r="I1134" s="35"/>
      <c r="J1134" s="35"/>
      <c r="K1134" s="35"/>
      <c r="L1134" s="35"/>
      <c r="M1134" s="35"/>
      <c r="N1134" s="35"/>
      <c r="O1134" s="35"/>
      <c r="P1134" s="35"/>
      <c r="Q1134" s="35"/>
      <c r="R1134" s="35"/>
    </row>
    <row r="1135" spans="3:18">
      <c r="C1135" s="37"/>
      <c r="D1135" s="35"/>
      <c r="E1135" s="35"/>
      <c r="F1135" s="35"/>
      <c r="G1135" s="35"/>
      <c r="H1135" s="35"/>
      <c r="I1135" s="35"/>
      <c r="J1135" s="35"/>
      <c r="K1135" s="35"/>
      <c r="L1135" s="35"/>
      <c r="M1135" s="35"/>
      <c r="N1135" s="35"/>
      <c r="O1135" s="35"/>
      <c r="P1135" s="35"/>
      <c r="Q1135" s="35"/>
      <c r="R1135" s="35"/>
    </row>
    <row r="1136" spans="3:18">
      <c r="C1136" s="33" t="s">
        <v>4</v>
      </c>
      <c r="D1136" s="35"/>
      <c r="E1136" s="35"/>
      <c r="F1136" s="35"/>
      <c r="G1136" s="35"/>
      <c r="H1136" s="35"/>
      <c r="I1136" s="35"/>
      <c r="J1136" s="35"/>
      <c r="K1136" s="35"/>
      <c r="L1136" s="35"/>
      <c r="M1136" s="35"/>
      <c r="N1136" s="35"/>
      <c r="O1136" s="35"/>
      <c r="P1136" s="35"/>
      <c r="Q1136" s="35"/>
      <c r="R1136" s="35"/>
    </row>
    <row r="1137" spans="3:18">
      <c r="C1137" s="33" t="s">
        <v>1036</v>
      </c>
      <c r="D1137" s="35"/>
      <c r="E1137" s="35"/>
      <c r="F1137" s="35"/>
      <c r="G1137" s="35"/>
      <c r="H1137" s="35"/>
      <c r="I1137" s="35"/>
      <c r="J1137" s="35"/>
      <c r="K1137" s="35"/>
      <c r="L1137" s="35"/>
      <c r="M1137" s="35"/>
      <c r="N1137" s="35"/>
      <c r="O1137" s="35"/>
      <c r="P1137" s="35"/>
      <c r="Q1137" s="35"/>
      <c r="R1137" s="35"/>
    </row>
    <row r="1138" spans="3:18">
      <c r="C1138" s="33" t="s">
        <v>5</v>
      </c>
      <c r="D1138" s="35"/>
      <c r="E1138" s="35"/>
      <c r="F1138" s="35"/>
      <c r="G1138" s="35"/>
      <c r="H1138" s="35"/>
      <c r="I1138" s="35"/>
      <c r="J1138" s="35"/>
      <c r="K1138" s="35"/>
      <c r="L1138" s="35"/>
      <c r="M1138" s="35"/>
      <c r="N1138" s="35"/>
      <c r="O1138" s="35"/>
      <c r="P1138" s="35"/>
      <c r="Q1138" s="35"/>
      <c r="R1138" s="35"/>
    </row>
    <row r="1139" spans="3:18">
      <c r="C1139" s="33" t="s">
        <v>614</v>
      </c>
      <c r="D1139" s="35"/>
      <c r="E1139" s="35"/>
      <c r="F1139" s="35"/>
      <c r="G1139" s="35"/>
      <c r="H1139" s="35"/>
      <c r="I1139" s="35"/>
      <c r="J1139" s="35"/>
      <c r="K1139" s="35"/>
      <c r="L1139" s="35"/>
      <c r="M1139" s="35"/>
      <c r="N1139" s="35"/>
      <c r="O1139" s="35"/>
      <c r="P1139" s="35"/>
      <c r="Q1139" s="35"/>
      <c r="R1139" s="35"/>
    </row>
    <row r="1140" spans="3:18" ht="15.6">
      <c r="D1140" s="33" t="s">
        <v>555</v>
      </c>
      <c r="E1140" s="35" t="s">
        <v>615</v>
      </c>
      <c r="F1140" s="35"/>
      <c r="G1140" s="35"/>
      <c r="H1140" s="35"/>
      <c r="I1140" s="35"/>
      <c r="J1140" s="35"/>
      <c r="K1140" s="607" t="s">
        <v>612</v>
      </c>
      <c r="L1140" s="671"/>
      <c r="M1140" s="641"/>
      <c r="N1140" s="139"/>
      <c r="O1140" s="35"/>
      <c r="P1140" s="35"/>
      <c r="Q1140" s="35"/>
      <c r="R1140" s="35"/>
    </row>
    <row r="1141" spans="3:18" ht="15.6">
      <c r="D1141" s="33" t="s">
        <v>555</v>
      </c>
      <c r="E1141" s="35" t="s">
        <v>616</v>
      </c>
      <c r="F1141" s="35"/>
      <c r="G1141" s="35"/>
      <c r="H1141" s="35"/>
      <c r="I1141" s="35"/>
      <c r="J1141" s="35"/>
      <c r="K1141" s="607" t="s">
        <v>613</v>
      </c>
      <c r="L1141" s="671"/>
      <c r="M1141" s="641"/>
      <c r="N1141" s="139"/>
      <c r="O1141" s="35"/>
      <c r="P1141" s="35"/>
      <c r="Q1141" s="35"/>
      <c r="R1141" s="35"/>
    </row>
    <row r="1142" spans="3:18">
      <c r="D1142" s="35"/>
      <c r="E1142" s="35"/>
      <c r="F1142" s="35"/>
      <c r="G1142" s="35"/>
      <c r="H1142" s="35"/>
      <c r="I1142" s="35"/>
      <c r="J1142" s="35"/>
      <c r="K1142" s="35"/>
      <c r="L1142" s="35"/>
      <c r="M1142" s="35"/>
      <c r="N1142" s="35"/>
      <c r="O1142" s="35"/>
      <c r="P1142" s="35"/>
      <c r="Q1142" s="35"/>
      <c r="R1142" s="35"/>
    </row>
    <row r="1143" spans="3:18">
      <c r="C1143" s="33" t="s">
        <v>588</v>
      </c>
      <c r="D1143" s="35"/>
      <c r="E1143" s="35"/>
      <c r="F1143" s="35" t="s">
        <v>995</v>
      </c>
      <c r="G1143" s="35"/>
      <c r="H1143" s="35"/>
      <c r="I1143" s="35"/>
      <c r="J1143" s="35"/>
      <c r="K1143" s="35"/>
      <c r="L1143" s="35"/>
      <c r="M1143" s="35"/>
      <c r="N1143" s="35"/>
      <c r="O1143" s="35"/>
      <c r="P1143" s="35"/>
      <c r="Q1143" s="35"/>
      <c r="R1143" s="35"/>
    </row>
    <row r="1144" spans="3:18" ht="15.6">
      <c r="D1144" s="35"/>
      <c r="E1144" s="35"/>
      <c r="F1144" s="607" t="s">
        <v>996</v>
      </c>
      <c r="G1144" s="35"/>
      <c r="H1144" s="35"/>
      <c r="I1144" s="35"/>
      <c r="J1144" s="35"/>
      <c r="K1144" s="35"/>
      <c r="L1144" s="35"/>
      <c r="M1144" s="35"/>
      <c r="N1144" s="35"/>
      <c r="P1144" s="35">
        <f>67%^0.35</f>
        <v>0.8692129357834798</v>
      </c>
      <c r="Q1144" s="35"/>
      <c r="R1144" s="35"/>
    </row>
    <row r="1145" spans="3:18">
      <c r="C1145" s="37"/>
      <c r="D1145" s="35"/>
      <c r="E1145" s="35"/>
      <c r="F1145" s="35"/>
      <c r="G1145" s="35"/>
      <c r="H1145" s="35"/>
      <c r="I1145" s="35"/>
      <c r="J1145" s="35"/>
      <c r="K1145" s="35"/>
      <c r="L1145" s="35"/>
      <c r="M1145" s="35"/>
      <c r="N1145" s="35"/>
      <c r="O1145" s="35"/>
    </row>
    <row r="1146" spans="3:18">
      <c r="C1146" s="37"/>
      <c r="D1146" s="35"/>
      <c r="E1146" s="35"/>
      <c r="F1146" s="35"/>
      <c r="G1146" s="35"/>
      <c r="H1146" s="35"/>
      <c r="I1146" s="35"/>
      <c r="J1146" s="35"/>
      <c r="K1146" s="35"/>
      <c r="L1146" s="35"/>
      <c r="M1146" s="35"/>
      <c r="N1146" s="35"/>
      <c r="O1146" s="35"/>
    </row>
    <row r="1147" spans="3:18" ht="18.600000000000001">
      <c r="C1147" s="639" t="s">
        <v>139</v>
      </c>
      <c r="D1147" s="168"/>
      <c r="E1147" s="35"/>
      <c r="F1147" s="640" t="s">
        <v>90</v>
      </c>
      <c r="G1147"/>
      <c r="H1147"/>
      <c r="I1147"/>
      <c r="J1147"/>
    </row>
    <row r="1148" spans="3:18">
      <c r="C1148" s="37" t="s">
        <v>66</v>
      </c>
      <c r="D1148" s="35"/>
      <c r="E1148" s="35"/>
      <c r="F1148" s="35"/>
      <c r="G1148" s="35"/>
      <c r="H1148" s="35"/>
      <c r="I1148" s="35"/>
      <c r="J1148" s="35"/>
      <c r="K1148" s="35"/>
      <c r="L1148" s="35"/>
      <c r="M1148" s="35"/>
      <c r="N1148" s="35"/>
      <c r="O1148" s="35"/>
    </row>
    <row r="1149" spans="3:18">
      <c r="C1149" s="37" t="s">
        <v>67</v>
      </c>
      <c r="D1149" s="35"/>
      <c r="E1149" s="35"/>
      <c r="F1149" s="35"/>
      <c r="G1149" s="35"/>
      <c r="H1149" s="35"/>
      <c r="I1149" s="35"/>
      <c r="J1149" s="35"/>
      <c r="K1149" s="35"/>
      <c r="L1149" s="35"/>
      <c r="M1149" s="35"/>
      <c r="N1149" s="35"/>
      <c r="O1149" s="35"/>
    </row>
    <row r="1150" spans="3:18">
      <c r="C1150" s="37" t="s">
        <v>1152</v>
      </c>
      <c r="D1150" s="35"/>
    </row>
    <row r="1151" spans="3:18">
      <c r="C1151" s="37" t="s">
        <v>1153</v>
      </c>
      <c r="D1151" s="35"/>
    </row>
    <row r="1152" spans="3:18">
      <c r="C1152" s="37" t="s">
        <v>184</v>
      </c>
      <c r="D1152" s="35"/>
    </row>
    <row r="1153" spans="2:15">
      <c r="C1153" s="37"/>
      <c r="D1153" s="35"/>
    </row>
    <row r="1154" spans="2:15">
      <c r="C1154" s="35"/>
    </row>
    <row r="1155" spans="2:15" ht="18.600000000000001">
      <c r="C1155" s="639" t="s">
        <v>1039</v>
      </c>
      <c r="D1155" s="168"/>
      <c r="E1155" s="35"/>
      <c r="F1155" s="640" t="s">
        <v>587</v>
      </c>
      <c r="G1155"/>
      <c r="H1155"/>
      <c r="I1155"/>
      <c r="J1155"/>
    </row>
    <row r="1156" spans="2:15">
      <c r="C1156" s="37" t="s">
        <v>1155</v>
      </c>
      <c r="D1156" s="35"/>
    </row>
    <row r="1157" spans="2:15">
      <c r="C1157" s="37" t="s">
        <v>145</v>
      </c>
      <c r="D1157" s="37" t="s">
        <v>1156</v>
      </c>
      <c r="E1157"/>
    </row>
    <row r="1158" spans="2:15">
      <c r="C1158" s="37" t="s">
        <v>145</v>
      </c>
      <c r="D1158" s="37" t="s">
        <v>1157</v>
      </c>
      <c r="E1158"/>
    </row>
    <row r="1159" spans="2:15">
      <c r="C1159" s="37" t="s">
        <v>145</v>
      </c>
      <c r="D1159" s="37" t="s">
        <v>594</v>
      </c>
      <c r="E1159"/>
    </row>
    <row r="1160" spans="2:15">
      <c r="C1160" s="37" t="s">
        <v>1158</v>
      </c>
    </row>
    <row r="1161" spans="2:15">
      <c r="C1161" s="37"/>
    </row>
    <row r="1162" spans="2:15">
      <c r="C1162" s="37"/>
      <c r="D1162" s="37" t="s">
        <v>588</v>
      </c>
      <c r="G1162" s="33">
        <v>10</v>
      </c>
      <c r="H1162" s="33" t="s">
        <v>589</v>
      </c>
      <c r="L1162" s="522">
        <v>0.8</v>
      </c>
      <c r="M1162" s="33" t="s">
        <v>590</v>
      </c>
      <c r="N1162" s="33">
        <f>G1162*L1162</f>
        <v>8</v>
      </c>
      <c r="O1162" s="33" t="s">
        <v>591</v>
      </c>
    </row>
    <row r="1163" spans="2:15">
      <c r="C1163" s="37"/>
      <c r="D1163" s="37"/>
    </row>
    <row r="1164" spans="2:15">
      <c r="C1164" s="37" t="s">
        <v>914</v>
      </c>
      <c r="D1164" s="37"/>
    </row>
    <row r="1165" spans="2:15" ht="18.600000000000001">
      <c r="B1165" s="182"/>
      <c r="C1165" s="37" t="s">
        <v>145</v>
      </c>
      <c r="D1165" s="37" t="s">
        <v>915</v>
      </c>
      <c r="H1165" s="33" t="s">
        <v>918</v>
      </c>
    </row>
    <row r="1166" spans="2:15">
      <c r="C1166" s="37"/>
      <c r="D1166" s="37"/>
      <c r="H1166" s="33" t="s">
        <v>919</v>
      </c>
    </row>
    <row r="1167" spans="2:15" ht="18.600000000000001">
      <c r="B1167" s="182"/>
      <c r="C1167" s="37" t="s">
        <v>145</v>
      </c>
      <c r="D1167" s="37" t="s">
        <v>916</v>
      </c>
      <c r="H1167" s="33" t="s">
        <v>917</v>
      </c>
    </row>
    <row r="1168" spans="2:15">
      <c r="C1168" s="37"/>
      <c r="D1168" s="37"/>
      <c r="H1168" s="98" t="s">
        <v>1286</v>
      </c>
    </row>
    <row r="1169" spans="1:18">
      <c r="C1169" s="37"/>
      <c r="D1169" s="37"/>
      <c r="H1169" s="98" t="s">
        <v>1287</v>
      </c>
    </row>
    <row r="1170" spans="1:18">
      <c r="C1170" s="37"/>
      <c r="D1170" s="37"/>
    </row>
    <row r="1171" spans="1:18">
      <c r="C1171" s="1072" t="s">
        <v>1290</v>
      </c>
      <c r="D1171" s="37"/>
    </row>
    <row r="1172" spans="1:18">
      <c r="C1172" s="1072" t="s">
        <v>1291</v>
      </c>
      <c r="D1172" s="37"/>
    </row>
    <row r="1173" spans="1:18">
      <c r="C1173" s="1072" t="s">
        <v>1288</v>
      </c>
      <c r="D1173" s="37"/>
    </row>
    <row r="1174" spans="1:18">
      <c r="C1174" s="37" t="s">
        <v>592</v>
      </c>
      <c r="D1174" s="37"/>
    </row>
    <row r="1175" spans="1:18">
      <c r="C1175" s="1072" t="s">
        <v>1289</v>
      </c>
      <c r="D1175" s="37"/>
    </row>
    <row r="1176" spans="1:18">
      <c r="C1176" s="37" t="s">
        <v>593</v>
      </c>
    </row>
    <row r="1177" spans="1:18">
      <c r="C1177" s="37"/>
    </row>
    <row r="1178" spans="1:18">
      <c r="C1178" s="37"/>
    </row>
    <row r="1179" spans="1:18" ht="20.399999999999999">
      <c r="A1179" s="89"/>
      <c r="B1179" s="4"/>
      <c r="C1179" s="169" t="s">
        <v>140</v>
      </c>
      <c r="D1179" s="76"/>
      <c r="E1179"/>
      <c r="F1179" s="183" t="s">
        <v>663</v>
      </c>
    </row>
    <row r="1180" spans="1:18" ht="18.600000000000001">
      <c r="B1180" s="170"/>
      <c r="C1180" s="855" t="s">
        <v>694</v>
      </c>
    </row>
    <row r="1181" spans="1:18">
      <c r="B1181" s="35"/>
      <c r="C1181" s="36" t="s">
        <v>664</v>
      </c>
    </row>
    <row r="1182" spans="1:18">
      <c r="B1182" s="35"/>
      <c r="C1182" s="36" t="s">
        <v>1159</v>
      </c>
    </row>
    <row r="1183" spans="1:18">
      <c r="C1183" s="37"/>
      <c r="D1183" s="35"/>
      <c r="E1183" s="35"/>
      <c r="F1183" s="35"/>
      <c r="G1183" s="35"/>
      <c r="H1183" s="35"/>
      <c r="I1183" s="35"/>
      <c r="J1183" s="35"/>
      <c r="K1183" s="35"/>
      <c r="L1183" s="35"/>
      <c r="M1183" s="35"/>
      <c r="N1183" s="35"/>
      <c r="O1183" s="35"/>
      <c r="P1183" s="35"/>
      <c r="Q1183" s="35"/>
      <c r="R1183" s="35"/>
    </row>
    <row r="1184" spans="1:18" ht="19.2" thickBot="1">
      <c r="A1184" s="89"/>
      <c r="B1184" s="118">
        <f>1+B1115</f>
        <v>13</v>
      </c>
      <c r="C1184" s="116" t="str">
        <f>"Übersicht "&amp;FIXED(B1184,0)&amp;":"</f>
        <v>Übersicht 13:</v>
      </c>
      <c r="D1184" s="35"/>
      <c r="E1184"/>
      <c r="F1184"/>
      <c r="G1184" s="1125" t="s">
        <v>1422</v>
      </c>
      <c r="H1184" s="35"/>
      <c r="I1184" s="35"/>
      <c r="J1184" s="35"/>
      <c r="K1184" s="35"/>
      <c r="L1184" s="35"/>
      <c r="M1184" s="35"/>
      <c r="N1184" s="35"/>
      <c r="O1184" s="35"/>
      <c r="P1184" s="35"/>
      <c r="Q1184" s="35"/>
      <c r="R1184" s="35"/>
    </row>
    <row r="1185" spans="3:22" ht="14.4" thickTop="1">
      <c r="C1185"/>
      <c r="D1185" s="120" t="s">
        <v>1160</v>
      </c>
      <c r="E1185" s="121"/>
      <c r="F1185" s="121"/>
      <c r="G1185" s="121"/>
      <c r="H1185" s="121"/>
      <c r="I1185" s="121"/>
      <c r="J1185" s="121"/>
      <c r="K1185" s="62"/>
      <c r="L1185" s="62"/>
      <c r="M1185" s="62"/>
      <c r="N1185" s="1559">
        <v>100000</v>
      </c>
      <c r="O1185" s="1559"/>
      <c r="P1185" s="804" t="s">
        <v>27</v>
      </c>
      <c r="Q1185" s="795"/>
      <c r="R1185"/>
    </row>
    <row r="1186" spans="3:22">
      <c r="C1186"/>
      <c r="D1186" s="122" t="s">
        <v>1161</v>
      </c>
      <c r="E1186" s="16"/>
      <c r="F1186" s="16"/>
      <c r="G1186" s="16"/>
      <c r="H1186" s="16"/>
      <c r="I1186" s="16"/>
      <c r="J1186" s="16"/>
      <c r="K1186" s="31"/>
      <c r="L1186" s="31"/>
      <c r="M1186" s="31"/>
      <c r="N1186" s="1585">
        <v>10000</v>
      </c>
      <c r="O1186" s="1585"/>
      <c r="P1186" s="22" t="s">
        <v>27</v>
      </c>
      <c r="Q1186" s="123"/>
      <c r="R1186"/>
    </row>
    <row r="1187" spans="3:22">
      <c r="C1187"/>
      <c r="D1187" s="122" t="s">
        <v>1162</v>
      </c>
      <c r="E1187" s="16"/>
      <c r="F1187" s="16"/>
      <c r="G1187" s="16"/>
      <c r="H1187" s="16"/>
      <c r="I1187" s="16"/>
      <c r="J1187" s="16"/>
      <c r="K1187" s="31"/>
      <c r="L1187" s="31"/>
      <c r="M1187" s="31"/>
      <c r="N1187" s="1586">
        <v>12</v>
      </c>
      <c r="O1187" s="1586"/>
      <c r="P1187" s="22" t="s">
        <v>65</v>
      </c>
      <c r="Q1187" s="123"/>
      <c r="R1187"/>
    </row>
    <row r="1188" spans="3:22">
      <c r="C1188"/>
      <c r="D1188" s="122" t="s">
        <v>818</v>
      </c>
      <c r="E1188" s="16"/>
      <c r="F1188" s="16"/>
      <c r="G1188" s="16"/>
      <c r="H1188" s="16"/>
      <c r="I1188" s="16"/>
      <c r="J1188" s="16"/>
      <c r="K1188" s="31"/>
      <c r="L1188" s="31"/>
      <c r="M1188" s="31"/>
      <c r="N1188" s="1585">
        <v>10000</v>
      </c>
      <c r="O1188" s="1585"/>
      <c r="P1188" s="22" t="s">
        <v>64</v>
      </c>
      <c r="Q1188" s="123"/>
      <c r="R1188"/>
    </row>
    <row r="1189" spans="3:22">
      <c r="C1189"/>
      <c r="D1189" s="122" t="s">
        <v>634</v>
      </c>
      <c r="E1189" s="31"/>
      <c r="F1189" s="31"/>
      <c r="G1189" s="31"/>
      <c r="H1189" s="31"/>
      <c r="I1189" s="31"/>
      <c r="J1189" s="31"/>
      <c r="K1189" s="31"/>
      <c r="L1189" s="31"/>
      <c r="M1189" s="31"/>
      <c r="N1189" s="1564">
        <f>ROUND(N1188/N1187,S1189)</f>
        <v>833</v>
      </c>
      <c r="O1189" s="1564"/>
      <c r="P1189" s="22" t="s">
        <v>1164</v>
      </c>
      <c r="Q1189" s="123"/>
      <c r="R1189"/>
      <c r="S1189" s="1494">
        <v>0</v>
      </c>
      <c r="T1189" s="1507" t="s">
        <v>1611</v>
      </c>
    </row>
    <row r="1190" spans="3:22">
      <c r="C1190"/>
      <c r="D1190" s="122" t="s">
        <v>620</v>
      </c>
      <c r="E1190" s="16"/>
      <c r="F1190" s="16"/>
      <c r="G1190" s="16"/>
      <c r="H1190" s="16"/>
      <c r="I1190" s="16"/>
      <c r="J1190" s="16"/>
      <c r="K1190" s="31"/>
      <c r="L1190" s="31"/>
      <c r="M1190" s="31"/>
      <c r="N1190" s="1587">
        <v>3</v>
      </c>
      <c r="O1190" s="1587"/>
      <c r="P1190" s="22" t="s">
        <v>1163</v>
      </c>
      <c r="Q1190" s="123"/>
      <c r="R1190"/>
    </row>
    <row r="1191" spans="3:22">
      <c r="C1191"/>
      <c r="D1191" s="122" t="s">
        <v>1423</v>
      </c>
      <c r="E1191" s="16"/>
      <c r="F1191" s="16"/>
      <c r="G1191" s="16"/>
      <c r="H1191" s="16"/>
      <c r="I1191" s="16"/>
      <c r="J1191" s="16"/>
      <c r="K1191" s="31"/>
      <c r="L1191" s="31"/>
      <c r="M1191" s="31"/>
      <c r="N1191" s="1551">
        <v>0.65</v>
      </c>
      <c r="O1191" s="1551"/>
      <c r="P1191" s="22" t="s">
        <v>1169</v>
      </c>
      <c r="Q1191" s="123"/>
      <c r="R1191"/>
    </row>
    <row r="1192" spans="3:22">
      <c r="C1192"/>
      <c r="D1192" s="829" t="s">
        <v>661</v>
      </c>
      <c r="E1192" s="837"/>
      <c r="F1192" s="837"/>
      <c r="G1192" s="837"/>
      <c r="H1192" s="837"/>
      <c r="I1192" s="837"/>
      <c r="J1192" s="837"/>
      <c r="K1192" s="798"/>
      <c r="L1192" s="798"/>
      <c r="M1192" s="798"/>
      <c r="N1192" s="1552">
        <v>0.2</v>
      </c>
      <c r="O1192" s="1552"/>
      <c r="P1192" s="838" t="s">
        <v>1169</v>
      </c>
      <c r="Q1192" s="839"/>
      <c r="R1192"/>
    </row>
    <row r="1193" spans="3:22">
      <c r="C1193"/>
      <c r="D1193" s="122" t="s">
        <v>649</v>
      </c>
      <c r="E1193" s="31"/>
      <c r="F1193" s="31"/>
      <c r="G1193" s="31"/>
      <c r="H1193" s="31"/>
      <c r="I1193" s="31"/>
      <c r="J1193" s="31"/>
      <c r="K1193" s="31"/>
      <c r="L1193" s="31"/>
      <c r="M1193" s="31"/>
      <c r="N1193" s="806"/>
      <c r="O1193" s="806"/>
      <c r="P1193" s="22"/>
      <c r="Q1193" s="123"/>
      <c r="R1193"/>
    </row>
    <row r="1194" spans="3:22">
      <c r="C1194"/>
      <c r="D1194" s="122"/>
      <c r="E1194" s="95" t="s">
        <v>650</v>
      </c>
      <c r="F1194" s="95"/>
      <c r="G1194" s="805">
        <f>N1188</f>
        <v>10000</v>
      </c>
      <c r="H1194" s="31" t="s">
        <v>651</v>
      </c>
      <c r="I1194" s="807">
        <v>1</v>
      </c>
      <c r="J1194" s="125" t="s">
        <v>610</v>
      </c>
      <c r="K1194" s="31"/>
      <c r="L1194" s="808"/>
      <c r="M1194" s="31"/>
      <c r="N1194" s="806"/>
      <c r="O1194" s="809" t="s">
        <v>654</v>
      </c>
      <c r="P1194" s="796">
        <v>7.8</v>
      </c>
      <c r="Q1194" s="810" t="s">
        <v>80</v>
      </c>
      <c r="R1194"/>
    </row>
    <row r="1195" spans="3:22">
      <c r="C1195"/>
      <c r="D1195" s="829"/>
      <c r="E1195" s="830" t="s">
        <v>650</v>
      </c>
      <c r="F1195" s="830"/>
      <c r="G1195" s="831">
        <f>$O$1200*$N$1187</f>
        <v>7200</v>
      </c>
      <c r="H1195" s="798" t="s">
        <v>651</v>
      </c>
      <c r="I1195" s="832">
        <f>G1195/G1194</f>
        <v>0.72</v>
      </c>
      <c r="J1195" s="833" t="s">
        <v>653</v>
      </c>
      <c r="K1195" s="154"/>
      <c r="L1195" s="154"/>
      <c r="M1195" s="289" t="s">
        <v>652</v>
      </c>
      <c r="N1195" s="1508">
        <f>ROUND(I1195^0.5,U1195)</f>
        <v>0.84899999999999998</v>
      </c>
      <c r="O1195" s="834" t="s">
        <v>654</v>
      </c>
      <c r="P1195" s="835">
        <f>ROUND(P1194*N1195,S1195)</f>
        <v>6.62</v>
      </c>
      <c r="Q1195" s="836" t="s">
        <v>80</v>
      </c>
      <c r="R1195"/>
      <c r="S1195" s="1494">
        <v>2</v>
      </c>
      <c r="T1195" s="1507" t="s">
        <v>1611</v>
      </c>
      <c r="U1195" s="1494">
        <v>3</v>
      </c>
      <c r="V1195" s="1507" t="s">
        <v>1612</v>
      </c>
    </row>
    <row r="1196" spans="3:22">
      <c r="C1196"/>
      <c r="D1196" s="122" t="s">
        <v>1154</v>
      </c>
      <c r="E1196" s="811"/>
      <c r="F1196" s="811"/>
      <c r="G1196" s="812"/>
      <c r="H1196" s="813"/>
      <c r="I1196" s="814"/>
      <c r="J1196" s="813"/>
      <c r="K1196" s="431"/>
      <c r="L1196" s="431"/>
      <c r="M1196" s="815"/>
      <c r="N1196" s="816"/>
      <c r="O1196" s="817"/>
      <c r="P1196" s="818"/>
      <c r="Q1196" s="819"/>
      <c r="R1196"/>
    </row>
    <row r="1197" spans="3:22">
      <c r="C1197"/>
      <c r="D1197" s="122"/>
      <c r="E1197" s="811" t="s">
        <v>655</v>
      </c>
      <c r="F1197" s="811"/>
      <c r="G1197" s="812"/>
      <c r="K1197" s="826">
        <v>12</v>
      </c>
      <c r="L1197" s="814" t="s">
        <v>657</v>
      </c>
      <c r="M1197" s="826">
        <v>0.8</v>
      </c>
      <c r="N1197" s="431" t="s">
        <v>590</v>
      </c>
      <c r="O1197" s="828">
        <f>ROUND(K1197*M1197,S1197)</f>
        <v>9.6</v>
      </c>
      <c r="P1197" s="827" t="s">
        <v>658</v>
      </c>
      <c r="Q1197" s="819"/>
      <c r="R1197"/>
      <c r="S1197" s="1494">
        <v>2</v>
      </c>
      <c r="T1197" s="1507" t="s">
        <v>1611</v>
      </c>
    </row>
    <row r="1198" spans="3:22">
      <c r="C1198"/>
      <c r="D1198" s="122"/>
      <c r="E1198" s="820" t="s">
        <v>660</v>
      </c>
      <c r="F1198" s="811"/>
      <c r="G1198" s="812"/>
      <c r="K1198" s="826">
        <f>1%*K1197</f>
        <v>0.12</v>
      </c>
      <c r="L1198" s="814" t="s">
        <v>657</v>
      </c>
      <c r="M1198" s="826">
        <v>3.35</v>
      </c>
      <c r="N1198" s="431" t="s">
        <v>590</v>
      </c>
      <c r="O1198" s="828">
        <f>ROUND(K1198*M1198,S1198)</f>
        <v>0.4</v>
      </c>
      <c r="P1198" s="827" t="s">
        <v>658</v>
      </c>
      <c r="Q1198" s="819"/>
      <c r="R1198"/>
      <c r="S1198" s="1494">
        <v>2</v>
      </c>
      <c r="T1198" s="1507" t="s">
        <v>1611</v>
      </c>
    </row>
    <row r="1199" spans="3:22" ht="14.4" thickBot="1">
      <c r="C1199"/>
      <c r="D1199" s="803"/>
      <c r="E1199" s="821"/>
      <c r="F1199" s="821"/>
      <c r="G1199" s="822"/>
      <c r="H1199" s="823"/>
      <c r="I1199" s="823"/>
      <c r="J1199" s="823"/>
      <c r="K1199" s="824"/>
      <c r="L1199" s="824"/>
      <c r="M1199" s="824"/>
      <c r="N1199" s="823"/>
      <c r="O1199" s="822"/>
      <c r="P1199" s="823"/>
      <c r="Q1199" s="825"/>
      <c r="R1199"/>
    </row>
    <row r="1200" spans="3:22" ht="14.4" thickTop="1">
      <c r="C1200"/>
      <c r="D1200" s="128" t="s">
        <v>1166</v>
      </c>
      <c r="E1200" s="19"/>
      <c r="F1200" s="19"/>
      <c r="G1200" s="19"/>
      <c r="H1200" s="19"/>
      <c r="I1200" s="19"/>
      <c r="J1200" s="19"/>
      <c r="K1200" s="19"/>
      <c r="L1200" s="19"/>
      <c r="M1200" s="21"/>
      <c r="N1200" s="21" t="s">
        <v>64</v>
      </c>
      <c r="O1200" s="1093">
        <v>600</v>
      </c>
      <c r="P1200" s="1102">
        <f>N1189</f>
        <v>833</v>
      </c>
      <c r="Q1200" s="1094">
        <v>1000</v>
      </c>
    </row>
    <row r="1201" spans="3:17">
      <c r="C1201"/>
      <c r="D1201" s="132" t="s">
        <v>1167</v>
      </c>
      <c r="E1201" s="31"/>
      <c r="F1201" s="31"/>
      <c r="G1201" s="31"/>
      <c r="H1201" s="31"/>
      <c r="I1201" s="31"/>
      <c r="J1201" s="31"/>
      <c r="K1201" s="31"/>
      <c r="L1201" s="31"/>
      <c r="M1201" s="32"/>
      <c r="N1201" s="32" t="s">
        <v>92</v>
      </c>
      <c r="O1201" s="1095"/>
      <c r="P1201" s="1095"/>
      <c r="Q1201" s="1096"/>
    </row>
    <row r="1202" spans="3:17">
      <c r="C1202"/>
      <c r="D1202" s="127"/>
      <c r="E1202" s="31" t="s">
        <v>1168</v>
      </c>
      <c r="F1202" s="95"/>
      <c r="G1202" s="95"/>
      <c r="H1202" s="31"/>
      <c r="I1202" s="31"/>
      <c r="J1202" s="32" t="s">
        <v>363</v>
      </c>
      <c r="K1202" s="31"/>
      <c r="L1202" s="31"/>
      <c r="M1202" s="32"/>
      <c r="N1202" s="32" t="s">
        <v>79</v>
      </c>
      <c r="O1202" s="1121">
        <f>IF(O1200&lt;=$N$1189,($N$1185-$N$1186)/$N$1187,0)</f>
        <v>7500</v>
      </c>
      <c r="P1202" s="1121">
        <f>IF(P1200&lt;=$N$1189,($N$1185-$N$1186)/$N$1187,0)</f>
        <v>7500</v>
      </c>
      <c r="Q1202" s="1122">
        <f>IF(Q1200&lt;=$N$1189,($N$1185-$N$1186)/$N$1187,0)</f>
        <v>0</v>
      </c>
    </row>
    <row r="1203" spans="3:17" ht="14.4">
      <c r="C1203"/>
      <c r="D1203" s="124"/>
      <c r="E1203" s="800"/>
      <c r="F1203" s="801"/>
      <c r="G1203" s="801"/>
      <c r="H1203" s="800"/>
      <c r="I1203" s="800"/>
      <c r="J1203" s="800"/>
      <c r="K1203" s="800"/>
      <c r="L1203" s="800"/>
      <c r="M1203" s="1106"/>
      <c r="N1203" s="1509" t="s">
        <v>80</v>
      </c>
      <c r="O1203" s="1510">
        <f>O1202/O1200</f>
        <v>12.5</v>
      </c>
      <c r="P1203" s="1510">
        <f>P1202/P1200</f>
        <v>9.0036014405762312</v>
      </c>
      <c r="Q1203" s="1511">
        <f>Q1202/Q1200</f>
        <v>0</v>
      </c>
    </row>
    <row r="1204" spans="3:17">
      <c r="C1204"/>
      <c r="D1204" s="127"/>
      <c r="E1204" s="31" t="s">
        <v>843</v>
      </c>
      <c r="F1204" s="95"/>
      <c r="G1204" s="133"/>
      <c r="H1204" s="126"/>
      <c r="I1204" s="32"/>
      <c r="J1204" s="32" t="s">
        <v>641</v>
      </c>
      <c r="K1204" s="31"/>
      <c r="L1204" s="31"/>
      <c r="M1204" s="32"/>
      <c r="N1204" s="32" t="s">
        <v>79</v>
      </c>
      <c r="O1204" s="1108">
        <f>$N$1190/100*($N$1185+$N$1186)/2</f>
        <v>1650</v>
      </c>
      <c r="P1204" s="1108">
        <f>$N$1190/100*($N$1185+$N$1186)/2</f>
        <v>1650</v>
      </c>
      <c r="Q1204" s="1109">
        <f>$N$1190/100*($N$1185+$N$1186)/2</f>
        <v>1650</v>
      </c>
    </row>
    <row r="1205" spans="3:17" ht="14.4">
      <c r="C1205"/>
      <c r="D1205" s="124"/>
      <c r="E1205" s="800"/>
      <c r="F1205" s="801"/>
      <c r="G1205" s="801"/>
      <c r="H1205" s="800"/>
      <c r="I1205" s="800"/>
      <c r="J1205" s="800"/>
      <c r="K1205" s="800"/>
      <c r="L1205" s="800"/>
      <c r="M1205" s="1106"/>
      <c r="N1205" s="1509" t="s">
        <v>80</v>
      </c>
      <c r="O1205" s="1512">
        <f>O1204/O1200</f>
        <v>2.75</v>
      </c>
      <c r="P1205" s="1512">
        <f>P1204/P1200</f>
        <v>1.9807923169267707</v>
      </c>
      <c r="Q1205" s="1513">
        <f>Q1204/Q1200</f>
        <v>1.65</v>
      </c>
    </row>
    <row r="1206" spans="3:17">
      <c r="C1206"/>
      <c r="D1206" s="127"/>
      <c r="E1206" s="31" t="s">
        <v>94</v>
      </c>
      <c r="F1206" s="95"/>
      <c r="G1206" s="95"/>
      <c r="H1206" s="34"/>
      <c r="I1206" s="34"/>
      <c r="J1206" s="840">
        <f>N1191</f>
        <v>0.65</v>
      </c>
      <c r="K1206" s="32" t="s">
        <v>1169</v>
      </c>
      <c r="L1206" s="31"/>
      <c r="M1206" s="32"/>
      <c r="N1206" s="32" t="s">
        <v>79</v>
      </c>
      <c r="O1206" s="1108">
        <f>$J1206%*$N1185</f>
        <v>650.00000000000011</v>
      </c>
      <c r="P1206" s="1108">
        <f>$J1206%*$N1185</f>
        <v>650.00000000000011</v>
      </c>
      <c r="Q1206" s="1109">
        <f>$J1206%*$N1185</f>
        <v>650.00000000000011</v>
      </c>
    </row>
    <row r="1207" spans="3:17" ht="14.4">
      <c r="C1207"/>
      <c r="D1207" s="124"/>
      <c r="E1207" s="800"/>
      <c r="F1207" s="801"/>
      <c r="G1207" s="801"/>
      <c r="H1207" s="552"/>
      <c r="I1207" s="552"/>
      <c r="J1207" s="800"/>
      <c r="K1207" s="800"/>
      <c r="L1207" s="800"/>
      <c r="M1207" s="1106"/>
      <c r="N1207" s="1509" t="s">
        <v>80</v>
      </c>
      <c r="O1207" s="1512">
        <f>O1206/O1200</f>
        <v>1.0833333333333335</v>
      </c>
      <c r="P1207" s="1512">
        <f>P1206/P1200</f>
        <v>0.78031212484994006</v>
      </c>
      <c r="Q1207" s="1513">
        <f>Q1206/Q1200</f>
        <v>0.65000000000000013</v>
      </c>
    </row>
    <row r="1208" spans="3:17">
      <c r="C1208"/>
      <c r="D1208" s="127"/>
      <c r="E1208" s="31" t="s">
        <v>91</v>
      </c>
      <c r="F1208" s="95"/>
      <c r="G1208" s="95"/>
      <c r="H1208" s="34"/>
      <c r="I1208" s="34"/>
      <c r="J1208" s="840">
        <f>N1192</f>
        <v>0.2</v>
      </c>
      <c r="K1208" s="32" t="s">
        <v>1169</v>
      </c>
      <c r="L1208" s="31"/>
      <c r="M1208" s="32"/>
      <c r="N1208" s="32" t="s">
        <v>79</v>
      </c>
      <c r="O1208" s="1108">
        <f>$J1208%*$N1185</f>
        <v>200</v>
      </c>
      <c r="P1208" s="1108">
        <f>$J1208%*$N1185</f>
        <v>200</v>
      </c>
      <c r="Q1208" s="1109">
        <f>$J1208%*$N1185</f>
        <v>200</v>
      </c>
    </row>
    <row r="1209" spans="3:17" ht="14.4">
      <c r="C1209"/>
      <c r="D1209" s="127"/>
      <c r="E1209" s="798"/>
      <c r="F1209" s="798"/>
      <c r="G1209" s="798"/>
      <c r="H1209" s="798"/>
      <c r="I1209" s="798"/>
      <c r="J1209" s="798"/>
      <c r="K1209" s="798"/>
      <c r="L1209" s="798"/>
      <c r="M1209" s="625"/>
      <c r="N1209" s="1514" t="s">
        <v>80</v>
      </c>
      <c r="O1209" s="1515">
        <f>O1208/O1200</f>
        <v>0.33333333333333331</v>
      </c>
      <c r="P1209" s="1515">
        <f>P1208/P1200</f>
        <v>0.24009603841536614</v>
      </c>
      <c r="Q1209" s="1516">
        <f>Q1208/Q1200</f>
        <v>0.2</v>
      </c>
    </row>
    <row r="1210" spans="3:17">
      <c r="C1210"/>
      <c r="D1210" s="127"/>
      <c r="E1210" s="16" t="s">
        <v>635</v>
      </c>
      <c r="F1210" s="16"/>
      <c r="G1210" s="16"/>
      <c r="H1210" s="16"/>
      <c r="I1210" s="16"/>
      <c r="J1210" s="16" t="s">
        <v>638</v>
      </c>
      <c r="K1210" s="16"/>
      <c r="L1210" s="16"/>
      <c r="M1210" s="22"/>
      <c r="N1210" s="22" t="s">
        <v>79</v>
      </c>
      <c r="O1210" s="1110">
        <f t="shared" ref="O1210:Q1210" si="13">O1202+O1204+O1206+O1208</f>
        <v>10000</v>
      </c>
      <c r="P1210" s="1110">
        <f t="shared" si="13"/>
        <v>10000</v>
      </c>
      <c r="Q1210" s="1111">
        <f t="shared" si="13"/>
        <v>2500</v>
      </c>
    </row>
    <row r="1211" spans="3:17">
      <c r="C1211"/>
      <c r="D1211" s="128"/>
      <c r="E1211" s="19"/>
      <c r="F1211" s="19"/>
      <c r="G1211" s="19"/>
      <c r="H1211" s="19"/>
      <c r="I1211" s="19"/>
      <c r="J1211" s="19" t="s">
        <v>643</v>
      </c>
      <c r="K1211" s="19"/>
      <c r="L1211" s="19"/>
      <c r="M1211" s="21"/>
      <c r="N1211" s="21" t="s">
        <v>80</v>
      </c>
      <c r="O1211" s="1119">
        <f>O1210/O1200</f>
        <v>16.666666666666668</v>
      </c>
      <c r="P1211" s="1119">
        <f t="shared" ref="P1211:Q1211" si="14">P1210/P1200</f>
        <v>12.004801920768307</v>
      </c>
      <c r="Q1211" s="1120">
        <f t="shared" si="14"/>
        <v>2.5</v>
      </c>
    </row>
    <row r="1212" spans="3:17">
      <c r="C1212"/>
      <c r="D1212" s="132" t="s">
        <v>1170</v>
      </c>
      <c r="E1212" s="31"/>
      <c r="F1212" s="31"/>
      <c r="G1212" s="31"/>
      <c r="H1212" s="31"/>
      <c r="I1212" s="31"/>
      <c r="J1212" s="31"/>
      <c r="K1212" s="31"/>
      <c r="L1212" s="31"/>
      <c r="M1212" s="31"/>
      <c r="N1212" s="31"/>
      <c r="O1212" s="1097" t="s">
        <v>92</v>
      </c>
      <c r="P1212" s="1097" t="s">
        <v>92</v>
      </c>
      <c r="Q1212" s="1098" t="s">
        <v>92</v>
      </c>
    </row>
    <row r="1213" spans="3:17">
      <c r="C1213"/>
      <c r="D1213" s="127"/>
      <c r="E1213" s="31" t="s">
        <v>95</v>
      </c>
      <c r="F1213" s="31"/>
      <c r="G1213" s="31"/>
      <c r="H1213" s="32"/>
      <c r="I1213" s="31"/>
      <c r="J1213" s="32" t="s">
        <v>364</v>
      </c>
      <c r="K1213" s="31"/>
      <c r="L1213" s="31"/>
      <c r="M1213" s="32"/>
      <c r="N1213" s="32" t="s">
        <v>80</v>
      </c>
      <c r="O1213" s="1123">
        <f>IF(O1200&gt;$N$1189,($N$1185-$N$1186)/$N$1188,0)</f>
        <v>0</v>
      </c>
      <c r="P1213" s="1123">
        <f>IF(P1200&gt;$N$1189,($N$1185-$N$1186)/$N$1188,0)</f>
        <v>0</v>
      </c>
      <c r="Q1213" s="1124">
        <f>IF(Q1200&gt;$N$1189,($N$1185-$N$1186)/$N$1188,0)</f>
        <v>9</v>
      </c>
    </row>
    <row r="1214" spans="3:17" ht="14.4">
      <c r="C1214"/>
      <c r="D1214" s="127"/>
      <c r="E1214" s="800" t="s">
        <v>92</v>
      </c>
      <c r="F1214" s="800"/>
      <c r="G1214" s="800"/>
      <c r="H1214" s="800"/>
      <c r="I1214" s="800"/>
      <c r="J1214" s="800"/>
      <c r="K1214" s="800"/>
      <c r="L1214" s="800"/>
      <c r="M1214" s="1106"/>
      <c r="N1214" s="1509" t="s">
        <v>79</v>
      </c>
      <c r="O1214" s="1517">
        <f>O1213*O1200</f>
        <v>0</v>
      </c>
      <c r="P1214" s="1517">
        <f>P1213*P1200</f>
        <v>0</v>
      </c>
      <c r="Q1214" s="1518">
        <f>Q1213*Q1200</f>
        <v>9000</v>
      </c>
    </row>
    <row r="1215" spans="3:17">
      <c r="C1215"/>
      <c r="D1215" s="127"/>
      <c r="E1215" s="31" t="s">
        <v>819</v>
      </c>
      <c r="F1215" s="31"/>
      <c r="G1215" s="31"/>
      <c r="H1215" s="31"/>
      <c r="I1215" s="31"/>
      <c r="J1215" s="31"/>
      <c r="K1215" s="31"/>
      <c r="L1215" s="31"/>
      <c r="M1215" s="32"/>
      <c r="N1215" s="32" t="s">
        <v>80</v>
      </c>
      <c r="O1215" s="1103">
        <f>$P$1195</f>
        <v>6.62</v>
      </c>
      <c r="P1215" s="1103">
        <f>P1194</f>
        <v>7.8</v>
      </c>
      <c r="Q1215" s="1105">
        <f>P1194</f>
        <v>7.8</v>
      </c>
    </row>
    <row r="1216" spans="3:17" ht="14.4">
      <c r="C1216"/>
      <c r="D1216" s="127"/>
      <c r="E1216" s="800" t="s">
        <v>92</v>
      </c>
      <c r="F1216" s="800"/>
      <c r="G1216" s="800"/>
      <c r="H1216" s="800"/>
      <c r="I1216" s="800"/>
      <c r="J1216" s="800"/>
      <c r="K1216" s="800"/>
      <c r="L1216" s="800"/>
      <c r="M1216" s="1106"/>
      <c r="N1216" s="1509" t="s">
        <v>79</v>
      </c>
      <c r="O1216" s="1519">
        <f>O1215*O1200</f>
        <v>3972</v>
      </c>
      <c r="P1216" s="1519">
        <f>P1215*P1200</f>
        <v>6497.4</v>
      </c>
      <c r="Q1216" s="1520">
        <f>Q1215*Q1200</f>
        <v>7800</v>
      </c>
    </row>
    <row r="1217" spans="2:18">
      <c r="C1217"/>
      <c r="D1217" s="127"/>
      <c r="E1217" s="32" t="s">
        <v>1154</v>
      </c>
      <c r="F1217" s="31"/>
      <c r="G1217" s="31"/>
      <c r="H1217" s="31"/>
      <c r="I1217" s="31"/>
      <c r="J1217" s="31"/>
      <c r="K1217" s="31"/>
      <c r="L1217" s="31"/>
      <c r="M1217" s="32"/>
      <c r="N1217" s="32" t="s">
        <v>80</v>
      </c>
      <c r="O1217" s="1104">
        <f>$O$1198+$O$1197</f>
        <v>10</v>
      </c>
      <c r="P1217" s="1103">
        <f>$O$1198+$O$1197</f>
        <v>10</v>
      </c>
      <c r="Q1217" s="1105">
        <f>$O$1198+$O$1197</f>
        <v>10</v>
      </c>
    </row>
    <row r="1218" spans="2:18" ht="14.4">
      <c r="C1218"/>
      <c r="D1218" s="127"/>
      <c r="E1218" s="797" t="s">
        <v>659</v>
      </c>
      <c r="F1218" s="798"/>
      <c r="G1218" s="798"/>
      <c r="H1218" s="798"/>
      <c r="I1218" s="798"/>
      <c r="J1218" s="798"/>
      <c r="K1218" s="798"/>
      <c r="L1218" s="798"/>
      <c r="M1218" s="625"/>
      <c r="N1218" s="1514" t="s">
        <v>79</v>
      </c>
      <c r="O1218" s="1521">
        <f>O1217*O1200</f>
        <v>6000</v>
      </c>
      <c r="P1218" s="1521">
        <f>P1217*P1200</f>
        <v>8330</v>
      </c>
      <c r="Q1218" s="1522">
        <f>Q1217*Q1200</f>
        <v>10000</v>
      </c>
    </row>
    <row r="1219" spans="2:18">
      <c r="C1219"/>
      <c r="D1219" s="127"/>
      <c r="E1219" s="16" t="s">
        <v>636</v>
      </c>
      <c r="F1219" s="16"/>
      <c r="G1219" s="16"/>
      <c r="H1219" s="16"/>
      <c r="I1219" s="16"/>
      <c r="J1219" s="16" t="s">
        <v>643</v>
      </c>
      <c r="K1219" s="16"/>
      <c r="L1219" s="16"/>
      <c r="M1219" s="22"/>
      <c r="N1219" s="22" t="s">
        <v>80</v>
      </c>
      <c r="O1219" s="1115">
        <f t="shared" ref="O1219:Q1219" si="15">O1217+O1215+O1213</f>
        <v>16.62</v>
      </c>
      <c r="P1219" s="1115">
        <f t="shared" si="15"/>
        <v>17.8</v>
      </c>
      <c r="Q1219" s="1116">
        <f t="shared" si="15"/>
        <v>26.8</v>
      </c>
    </row>
    <row r="1220" spans="2:18">
      <c r="C1220"/>
      <c r="D1220" s="128"/>
      <c r="E1220" s="19"/>
      <c r="F1220" s="19"/>
      <c r="G1220" s="19"/>
      <c r="H1220" s="19"/>
      <c r="I1220" s="19"/>
      <c r="J1220" s="19" t="s">
        <v>638</v>
      </c>
      <c r="K1220" s="19"/>
      <c r="L1220" s="19"/>
      <c r="M1220" s="21"/>
      <c r="N1220" s="21" t="s">
        <v>79</v>
      </c>
      <c r="O1220" s="1101">
        <f>O1219*O1200</f>
        <v>9972</v>
      </c>
      <c r="P1220" s="1101">
        <f t="shared" ref="P1220:Q1220" si="16">P1219*P1200</f>
        <v>14827.400000000001</v>
      </c>
      <c r="Q1220" s="1112">
        <f t="shared" si="16"/>
        <v>26800</v>
      </c>
    </row>
    <row r="1221" spans="2:18" ht="15.6">
      <c r="C1221"/>
      <c r="D1221" s="799" t="s">
        <v>647</v>
      </c>
      <c r="E1221" s="31"/>
      <c r="F1221" s="31"/>
      <c r="G1221" s="31"/>
      <c r="H1221" s="31"/>
      <c r="I1221" s="31"/>
      <c r="J1221" s="31"/>
      <c r="K1221" s="31"/>
      <c r="L1221" s="31"/>
      <c r="M1221" s="31"/>
      <c r="N1221" s="31"/>
      <c r="O1221" s="1099"/>
      <c r="P1221" s="1099"/>
      <c r="Q1221" s="1100"/>
    </row>
    <row r="1222" spans="2:18">
      <c r="C1222"/>
      <c r="D1222" s="122"/>
      <c r="E1222" s="16" t="s">
        <v>637</v>
      </c>
      <c r="F1222" s="16"/>
      <c r="G1222" s="16"/>
      <c r="H1222" s="16"/>
      <c r="I1222" s="16"/>
      <c r="J1222" s="16" t="s">
        <v>638</v>
      </c>
      <c r="K1222" s="16"/>
      <c r="L1222" s="16"/>
      <c r="M1222" s="22"/>
      <c r="N1222" s="22" t="s">
        <v>79</v>
      </c>
      <c r="O1222" s="1113">
        <f>O1220+O1210</f>
        <v>19972</v>
      </c>
      <c r="P1222" s="1113">
        <f>P1220+P1210</f>
        <v>24827.4</v>
      </c>
      <c r="Q1222" s="1114">
        <f>Q1220+Q1210</f>
        <v>29300</v>
      </c>
    </row>
    <row r="1223" spans="2:18" ht="14.4" thickBot="1">
      <c r="C1223"/>
      <c r="D1223" s="129"/>
      <c r="E1223" s="802" t="s">
        <v>644</v>
      </c>
      <c r="F1223" s="130"/>
      <c r="G1223" s="130"/>
      <c r="H1223" s="130"/>
      <c r="I1223" s="130"/>
      <c r="J1223" s="130" t="s">
        <v>643</v>
      </c>
      <c r="K1223" s="130"/>
      <c r="L1223" s="130"/>
      <c r="M1223" s="1107"/>
      <c r="N1223" s="1107" t="s">
        <v>80</v>
      </c>
      <c r="O1223" s="1117">
        <f>O1219+O1211</f>
        <v>33.286666666666669</v>
      </c>
      <c r="P1223" s="1117">
        <f>P1219+P1211</f>
        <v>29.804801920768305</v>
      </c>
      <c r="Q1223" s="1118">
        <f>Q1219+Q1211</f>
        <v>29.3</v>
      </c>
    </row>
    <row r="1224" spans="2:18" ht="14.4" thickTop="1">
      <c r="C1224"/>
      <c r="D1224" s="9" t="s">
        <v>645</v>
      </c>
      <c r="E1224" s="12" t="s">
        <v>646</v>
      </c>
      <c r="F1224" s="35"/>
      <c r="G1224" s="35"/>
      <c r="H1224" s="35"/>
      <c r="I1224" s="35"/>
      <c r="J1224" s="35"/>
      <c r="K1224" s="35"/>
      <c r="L1224" s="35"/>
      <c r="M1224" s="35"/>
      <c r="N1224" s="64"/>
      <c r="O1224" s="64"/>
      <c r="P1224" s="64"/>
      <c r="Q1224" s="64"/>
      <c r="R1224" s="35"/>
    </row>
    <row r="1225" spans="2:18">
      <c r="C1225"/>
      <c r="D1225" s="9"/>
      <c r="E1225" s="12" t="s">
        <v>642</v>
      </c>
      <c r="F1225" s="64"/>
      <c r="G1225" s="35"/>
      <c r="H1225" s="35"/>
      <c r="I1225" s="64"/>
      <c r="J1225" s="35"/>
      <c r="K1225" s="64"/>
      <c r="L1225" s="35"/>
      <c r="M1225" s="35"/>
      <c r="N1225" s="64"/>
      <c r="O1225" s="64"/>
      <c r="P1225" s="64"/>
      <c r="Q1225" s="64"/>
      <c r="R1225" s="63"/>
    </row>
    <row r="1226" spans="2:18">
      <c r="C1226"/>
      <c r="D1226" s="9" t="s">
        <v>648</v>
      </c>
      <c r="E1226" s="12" t="s">
        <v>1242</v>
      </c>
      <c r="F1226" s="64"/>
      <c r="G1226" s="35"/>
      <c r="H1226" s="35"/>
      <c r="I1226" s="64"/>
      <c r="J1226" s="35"/>
      <c r="K1226" s="64"/>
      <c r="L1226" s="35"/>
      <c r="M1226" s="35"/>
      <c r="N1226" s="64"/>
      <c r="O1226" s="64"/>
      <c r="P1226" s="64"/>
      <c r="Q1226" s="64"/>
      <c r="R1226" s="63"/>
    </row>
    <row r="1227" spans="2:18">
      <c r="C1227"/>
      <c r="D1227" s="9"/>
      <c r="E1227" s="35"/>
      <c r="F1227" s="64"/>
      <c r="G1227" s="35"/>
      <c r="H1227" s="35"/>
      <c r="I1227" s="64"/>
      <c r="J1227" s="35"/>
      <c r="K1227" s="64"/>
      <c r="L1227" s="35"/>
      <c r="M1227" s="35"/>
      <c r="N1227" s="64"/>
      <c r="O1227" s="64"/>
      <c r="P1227" s="64"/>
      <c r="Q1227" s="64"/>
      <c r="R1227" s="63"/>
    </row>
    <row r="1228" spans="2:18">
      <c r="C1228" s="642" t="s">
        <v>693</v>
      </c>
      <c r="D1228" s="9"/>
      <c r="E1228" s="35"/>
      <c r="F1228" s="64"/>
      <c r="G1228" s="35"/>
      <c r="H1228" s="35"/>
      <c r="I1228" s="64"/>
      <c r="J1228" s="35"/>
      <c r="K1228" s="64"/>
      <c r="L1228" s="35"/>
      <c r="M1228" s="35"/>
      <c r="N1228" s="64"/>
      <c r="O1228" s="64"/>
      <c r="P1228" s="64"/>
      <c r="Q1228" s="64"/>
      <c r="R1228" s="63"/>
    </row>
    <row r="1229" spans="2:18" ht="18.600000000000001">
      <c r="B1229" s="182"/>
      <c r="C1229" s="144" t="s">
        <v>695</v>
      </c>
      <c r="D1229" s="35"/>
      <c r="E1229" s="35"/>
      <c r="F1229" s="35"/>
      <c r="G1229" s="35"/>
      <c r="H1229" s="35"/>
      <c r="I1229" s="35"/>
      <c r="J1229" s="35"/>
      <c r="K1229" s="35"/>
      <c r="L1229" s="35"/>
      <c r="M1229" s="35"/>
      <c r="N1229" s="35"/>
      <c r="O1229" s="35"/>
      <c r="P1229" s="35"/>
      <c r="Q1229" s="35"/>
      <c r="R1229" s="35"/>
    </row>
    <row r="1230" spans="2:18">
      <c r="C1230" s="37" t="s">
        <v>689</v>
      </c>
      <c r="D1230" s="35"/>
      <c r="E1230" s="35"/>
      <c r="F1230" s="35"/>
      <c r="G1230" s="35"/>
      <c r="H1230" s="35"/>
      <c r="I1230" s="35"/>
      <c r="J1230" s="35"/>
      <c r="K1230" s="35"/>
      <c r="L1230" s="35"/>
      <c r="M1230" s="35"/>
      <c r="N1230" s="35"/>
      <c r="O1230" s="35"/>
      <c r="P1230" s="35"/>
      <c r="Q1230" s="35"/>
      <c r="R1230" s="35"/>
    </row>
    <row r="1231" spans="2:18">
      <c r="C1231" s="37" t="s">
        <v>690</v>
      </c>
      <c r="D1231" s="35"/>
      <c r="E1231" s="35"/>
      <c r="F1231" s="35"/>
      <c r="G1231" s="35"/>
      <c r="H1231" s="35"/>
      <c r="I1231" s="35"/>
      <c r="J1231" s="35"/>
      <c r="K1231" s="35"/>
      <c r="L1231" s="35"/>
      <c r="M1231" s="35"/>
      <c r="N1231" s="35"/>
      <c r="O1231" s="35"/>
      <c r="P1231" s="35"/>
      <c r="Q1231" s="35"/>
      <c r="R1231" s="35"/>
    </row>
    <row r="1232" spans="2:18">
      <c r="C1232" s="37" t="s">
        <v>686</v>
      </c>
      <c r="D1232" s="35"/>
      <c r="E1232" s="35"/>
      <c r="F1232" s="35"/>
      <c r="G1232" s="35"/>
      <c r="H1232" s="35"/>
      <c r="I1232" s="35"/>
      <c r="J1232" s="35"/>
      <c r="K1232" s="35"/>
      <c r="L1232" s="35"/>
      <c r="M1232" s="35"/>
      <c r="N1232" s="35"/>
      <c r="O1232" s="35"/>
      <c r="P1232" s="35"/>
      <c r="Q1232" s="35"/>
      <c r="R1232" s="35"/>
    </row>
    <row r="1233" spans="2:18">
      <c r="C1233" s="37" t="s">
        <v>687</v>
      </c>
      <c r="D1233" s="35"/>
      <c r="E1233" s="35"/>
      <c r="F1233" s="35"/>
      <c r="G1233" s="35"/>
      <c r="H1233" s="35"/>
      <c r="I1233" s="35"/>
      <c r="J1233" s="35"/>
      <c r="K1233" s="35"/>
      <c r="L1233" s="35"/>
      <c r="M1233" s="35"/>
      <c r="N1233" s="35"/>
      <c r="O1233" s="35"/>
      <c r="P1233" s="35"/>
      <c r="Q1233" s="35"/>
      <c r="R1233" s="35"/>
    </row>
    <row r="1234" spans="2:18">
      <c r="C1234" s="37" t="s">
        <v>688</v>
      </c>
      <c r="D1234" s="35"/>
      <c r="E1234" s="35"/>
      <c r="F1234" s="35"/>
      <c r="G1234" s="35"/>
      <c r="H1234" s="35"/>
      <c r="I1234" s="35"/>
      <c r="J1234" s="35"/>
      <c r="K1234" s="35"/>
      <c r="L1234" s="35"/>
      <c r="M1234" s="35"/>
      <c r="N1234" s="35"/>
      <c r="O1234" s="35"/>
      <c r="P1234" s="35"/>
      <c r="Q1234" s="35"/>
      <c r="R1234" s="35"/>
    </row>
    <row r="1235" spans="2:18">
      <c r="C1235" s="37" t="s">
        <v>691</v>
      </c>
      <c r="D1235" s="35"/>
      <c r="E1235" s="35"/>
      <c r="F1235" s="35"/>
      <c r="G1235" s="35"/>
      <c r="H1235" s="35"/>
      <c r="I1235" s="35"/>
      <c r="J1235" s="35"/>
      <c r="K1235" s="35"/>
      <c r="L1235" s="35"/>
      <c r="M1235" s="35"/>
      <c r="N1235" s="35"/>
      <c r="O1235" s="35"/>
      <c r="P1235" s="35"/>
      <c r="Q1235" s="35"/>
      <c r="R1235" s="35"/>
    </row>
    <row r="1236" spans="2:18">
      <c r="C1236" s="37" t="s">
        <v>692</v>
      </c>
      <c r="D1236" s="35"/>
      <c r="E1236" s="35"/>
      <c r="F1236" s="35"/>
      <c r="G1236" s="35"/>
      <c r="H1236" s="35"/>
      <c r="I1236" s="35"/>
      <c r="J1236" s="35"/>
      <c r="K1236" s="35"/>
      <c r="L1236" s="35"/>
      <c r="M1236" s="35"/>
      <c r="N1236" s="35"/>
      <c r="O1236" s="35"/>
      <c r="P1236" s="35"/>
      <c r="Q1236" s="854">
        <f>B1065</f>
        <v>11</v>
      </c>
      <c r="R1236" s="35"/>
    </row>
    <row r="1237" spans="2:18">
      <c r="B1237" s="35"/>
      <c r="C1237" s="37"/>
      <c r="D1237" s="35"/>
      <c r="E1237" s="35"/>
      <c r="F1237" s="35"/>
      <c r="G1237" s="35"/>
      <c r="H1237" s="35"/>
      <c r="I1237" s="35"/>
      <c r="J1237" s="35"/>
      <c r="K1237" s="35"/>
      <c r="L1237" s="35"/>
      <c r="M1237" s="35"/>
      <c r="N1237" s="35"/>
    </row>
    <row r="1238" spans="2:18">
      <c r="B1238" s="847">
        <f>1+B1184</f>
        <v>14</v>
      </c>
      <c r="C1238" s="116" t="str">
        <f>"Übersicht "&amp;FIXED(B1238,0)&amp;":"</f>
        <v>Übersicht 14:</v>
      </c>
      <c r="D1238" s="35"/>
      <c r="E1238"/>
      <c r="F1238"/>
      <c r="G1238" s="117" t="s">
        <v>669</v>
      </c>
      <c r="H1238" s="35"/>
      <c r="I1238" s="35"/>
      <c r="J1238" s="35"/>
      <c r="K1238" s="35"/>
      <c r="L1238" s="35"/>
      <c r="M1238" s="35"/>
      <c r="N1238" s="35"/>
    </row>
    <row r="1239" spans="2:18">
      <c r="C1239" s="35"/>
      <c r="D1239" s="35"/>
      <c r="E1239" s="35"/>
      <c r="F1239" s="35"/>
      <c r="G1239" s="1071" t="s">
        <v>1562</v>
      </c>
      <c r="H1239" s="35"/>
      <c r="I1239" s="35"/>
      <c r="J1239" s="35"/>
      <c r="K1239" s="35"/>
      <c r="L1239" s="35"/>
      <c r="M1239" s="35"/>
      <c r="N1239" s="35"/>
    </row>
    <row r="1240" spans="2:18" ht="18.600000000000001">
      <c r="B1240" s="170"/>
      <c r="C1240"/>
      <c r="D1240"/>
      <c r="E1240" s="37" t="s">
        <v>680</v>
      </c>
      <c r="F1240" s="35"/>
      <c r="G1240" s="35"/>
      <c r="H1240" s="35"/>
      <c r="I1240" s="35"/>
      <c r="J1240"/>
      <c r="K1240"/>
      <c r="N1240" s="1574">
        <f>ROUNDUP(N1242*(1-P1251)*1.035,-3)</f>
        <v>156000</v>
      </c>
      <c r="O1240" s="1574"/>
      <c r="P1240" s="37" t="s">
        <v>27</v>
      </c>
    </row>
    <row r="1241" spans="2:18">
      <c r="B1241"/>
      <c r="C1241"/>
      <c r="D1241"/>
      <c r="E1241" s="1072" t="s">
        <v>1240</v>
      </c>
      <c r="F1241" s="35"/>
      <c r="G1241" s="35"/>
      <c r="H1241" s="35"/>
      <c r="I1241" s="35"/>
      <c r="J1241"/>
      <c r="K1241"/>
      <c r="N1241" s="1574">
        <f>ROUNDUP(N1242*(1-P1253),-3)</f>
        <v>60000</v>
      </c>
      <c r="O1241" s="1574"/>
      <c r="P1241" s="37" t="s">
        <v>27</v>
      </c>
    </row>
    <row r="1242" spans="2:18">
      <c r="B1242" s="35"/>
      <c r="C1242"/>
      <c r="D1242"/>
      <c r="E1242" s="37" t="s">
        <v>676</v>
      </c>
      <c r="F1242" s="35"/>
      <c r="G1242" s="35"/>
      <c r="H1242" s="35"/>
      <c r="I1242" s="35"/>
      <c r="J1242"/>
      <c r="K1242"/>
      <c r="N1242" s="1574">
        <v>300000</v>
      </c>
      <c r="O1242" s="1574"/>
      <c r="P1242" s="37" t="s">
        <v>27</v>
      </c>
    </row>
    <row r="1243" spans="2:18">
      <c r="B1243" s="35"/>
      <c r="C1243"/>
      <c r="D1243"/>
      <c r="E1243" s="1072" t="s">
        <v>1241</v>
      </c>
      <c r="F1243" s="35"/>
      <c r="G1243" s="35"/>
      <c r="H1243" s="35"/>
      <c r="I1243" s="35"/>
      <c r="J1243"/>
      <c r="K1243"/>
      <c r="N1243" s="1575">
        <f>N1242/N1247*N1249</f>
        <v>180000</v>
      </c>
      <c r="O1243" s="1575"/>
      <c r="P1243" s="37" t="s">
        <v>27</v>
      </c>
    </row>
    <row r="1244" spans="2:18">
      <c r="B1244" s="35"/>
      <c r="C1244"/>
      <c r="D1244"/>
      <c r="E1244" s="37" t="s">
        <v>1173</v>
      </c>
      <c r="F1244" s="35"/>
      <c r="G1244" s="35"/>
      <c r="H1244" s="35"/>
      <c r="I1244" s="35"/>
      <c r="J1244"/>
      <c r="K1244"/>
      <c r="N1244" s="1249">
        <v>3</v>
      </c>
      <c r="O1244" s="37" t="s">
        <v>1163</v>
      </c>
    </row>
    <row r="1245" spans="2:18">
      <c r="B1245" s="35"/>
      <c r="C1245" s="1232"/>
      <c r="D1245" s="1232"/>
      <c r="E1245" s="1072" t="s">
        <v>1425</v>
      </c>
      <c r="F1245" s="35"/>
      <c r="G1245" s="35"/>
      <c r="H1245" s="35"/>
      <c r="I1245" s="35"/>
      <c r="J1245" s="1232"/>
      <c r="K1245" s="1232"/>
      <c r="N1245" s="1249">
        <v>1</v>
      </c>
      <c r="O1245" s="1072" t="s">
        <v>1169</v>
      </c>
    </row>
    <row r="1246" spans="2:18">
      <c r="B1246" s="35"/>
      <c r="C1246"/>
      <c r="D1246"/>
      <c r="E1246" s="37"/>
      <c r="F1246" s="35"/>
      <c r="G1246" s="35"/>
      <c r="H1246" s="35"/>
      <c r="I1246" s="35"/>
      <c r="J1246"/>
      <c r="K1246"/>
      <c r="N1246" s="134"/>
      <c r="O1246" s="37"/>
    </row>
    <row r="1247" spans="2:18">
      <c r="B1247" s="35"/>
      <c r="C1247"/>
      <c r="D1247"/>
      <c r="E1247" s="37" t="s">
        <v>670</v>
      </c>
      <c r="F1247" s="35"/>
      <c r="G1247" s="35"/>
      <c r="H1247" s="35"/>
      <c r="I1247" s="35"/>
      <c r="J1247" s="35"/>
      <c r="K1247" s="35"/>
      <c r="N1247" s="850">
        <v>10</v>
      </c>
      <c r="O1247" s="33" t="s">
        <v>65</v>
      </c>
    </row>
    <row r="1248" spans="2:18">
      <c r="B1248" s="35"/>
      <c r="C1248"/>
      <c r="D1248"/>
      <c r="E1248" s="37" t="s">
        <v>677</v>
      </c>
      <c r="F1248" s="35"/>
      <c r="G1248" s="35"/>
      <c r="H1248" s="35"/>
      <c r="I1248" s="35"/>
      <c r="J1248" s="35"/>
      <c r="K1248" s="35"/>
      <c r="N1248" s="850">
        <v>4</v>
      </c>
      <c r="O1248" s="33" t="s">
        <v>65</v>
      </c>
    </row>
    <row r="1249" spans="2:20">
      <c r="B1249" s="35"/>
      <c r="C1249"/>
      <c r="D1249"/>
      <c r="E1249" s="36" t="s">
        <v>671</v>
      </c>
      <c r="F1249" s="35"/>
      <c r="G1249" s="35"/>
      <c r="H1249" s="35"/>
      <c r="I1249" s="35"/>
      <c r="J1249"/>
      <c r="K1249"/>
      <c r="N1249" s="134">
        <f>N1247-N1248</f>
        <v>6</v>
      </c>
      <c r="O1249" s="37" t="s">
        <v>65</v>
      </c>
    </row>
    <row r="1250" spans="2:20" ht="18.600000000000001">
      <c r="B1250" s="170"/>
      <c r="C1250"/>
      <c r="D1250"/>
      <c r="E1250" s="37" t="s">
        <v>672</v>
      </c>
      <c r="F1250" s="35"/>
      <c r="G1250" s="35"/>
      <c r="H1250" s="35"/>
      <c r="I1250" s="35"/>
      <c r="J1250"/>
      <c r="K1250"/>
      <c r="N1250" s="849">
        <v>5000</v>
      </c>
      <c r="O1250" s="33" t="s">
        <v>61</v>
      </c>
    </row>
    <row r="1251" spans="2:20">
      <c r="B1251" s="35"/>
      <c r="C1251"/>
      <c r="D1251"/>
      <c r="E1251" s="37" t="s">
        <v>675</v>
      </c>
      <c r="F1251" s="35"/>
      <c r="G1251" s="35"/>
      <c r="H1251" s="35"/>
      <c r="I1251" s="35"/>
      <c r="J1251"/>
      <c r="K1251"/>
      <c r="N1251" s="849">
        <f>0.5*N1250</f>
        <v>2500</v>
      </c>
      <c r="O1251" s="33" t="s">
        <v>673</v>
      </c>
      <c r="P1251" s="152">
        <f>N1251/N1250</f>
        <v>0.5</v>
      </c>
      <c r="Q1251" s="37" t="s">
        <v>674</v>
      </c>
    </row>
    <row r="1252" spans="2:20">
      <c r="B1252" s="35"/>
      <c r="C1252"/>
      <c r="D1252"/>
      <c r="E1252" s="37" t="s">
        <v>678</v>
      </c>
      <c r="F1252" s="35"/>
      <c r="G1252" s="35"/>
      <c r="H1252" s="35"/>
      <c r="I1252" s="35"/>
      <c r="J1252"/>
      <c r="K1252"/>
      <c r="N1252" s="850">
        <v>250</v>
      </c>
      <c r="O1252" s="37" t="s">
        <v>61</v>
      </c>
    </row>
    <row r="1253" spans="2:20">
      <c r="B1253" s="35"/>
      <c r="C1253"/>
      <c r="D1253"/>
      <c r="E1253" s="658" t="s">
        <v>679</v>
      </c>
      <c r="G1253" s="35"/>
      <c r="I1253" s="37"/>
      <c r="J1253"/>
      <c r="N1253" s="841">
        <f>(N1252*N1249+N1251)</f>
        <v>4000</v>
      </c>
      <c r="O1253" s="33" t="s">
        <v>673</v>
      </c>
      <c r="P1253" s="848">
        <f>N1253/N1250</f>
        <v>0.8</v>
      </c>
      <c r="Q1253" s="37" t="s">
        <v>674</v>
      </c>
    </row>
    <row r="1254" spans="2:20">
      <c r="B1254" s="35"/>
      <c r="C1254"/>
      <c r="D1254"/>
      <c r="E1254" s="37"/>
      <c r="F1254" s="35"/>
      <c r="G1254" s="35"/>
      <c r="H1254" s="35"/>
      <c r="I1254"/>
      <c r="J1254"/>
      <c r="M1254" s="134"/>
      <c r="N1254" s="134"/>
      <c r="O1254" s="134"/>
      <c r="P1254" s="37"/>
    </row>
    <row r="1255" spans="2:20">
      <c r="B1255" s="35"/>
      <c r="C1255"/>
      <c r="D1255"/>
      <c r="E1255" s="37" t="s">
        <v>683</v>
      </c>
      <c r="F1255" s="35"/>
      <c r="H1255" s="144" t="s">
        <v>682</v>
      </c>
      <c r="M1255" s="134"/>
      <c r="N1255" s="851">
        <v>15</v>
      </c>
      <c r="O1255" s="1072" t="s">
        <v>1563</v>
      </c>
    </row>
    <row r="1256" spans="2:20">
      <c r="B1256" s="35"/>
      <c r="C1256"/>
      <c r="D1256"/>
      <c r="E1256" s="37"/>
      <c r="F1256" s="35"/>
      <c r="H1256" s="1092" t="str">
        <f>"für Restnutzung von "&amp;P1251*100&amp;"% bis "&amp;P1253*100&amp;"% von n"</f>
        <v>für Restnutzung von 50% bis 80% von n</v>
      </c>
      <c r="I1256" s="851"/>
      <c r="J1256"/>
      <c r="M1256" s="134"/>
      <c r="N1256" s="852">
        <f>N1255*Q1256</f>
        <v>18.149999999999999</v>
      </c>
      <c r="O1256" s="37" t="s">
        <v>353</v>
      </c>
      <c r="P1256" s="533" t="s">
        <v>1364</v>
      </c>
      <c r="Q1256" s="1230">
        <f>ROUND(IF($P1251&gt;=P$1253,0,(1-($P1251^$T$1256*$P1251)-(1-(P$1253^$T$1256*P$1253)))/(P$1253-$P1251)),2)</f>
        <v>1.21</v>
      </c>
      <c r="S1256" s="1214" t="s">
        <v>611</v>
      </c>
      <c r="T1256" s="1216">
        <v>0.5</v>
      </c>
    </row>
    <row r="1257" spans="2:20" ht="18.600000000000001">
      <c r="B1257" s="170"/>
      <c r="C1257"/>
      <c r="D1257"/>
      <c r="E1257" s="37" t="s">
        <v>681</v>
      </c>
      <c r="F1257" s="811"/>
      <c r="G1257" s="812"/>
      <c r="H1257" s="811" t="s">
        <v>655</v>
      </c>
      <c r="J1257" s="826">
        <v>25</v>
      </c>
      <c r="K1257" s="1091" t="s">
        <v>1239</v>
      </c>
      <c r="L1257" s="826">
        <v>0.8</v>
      </c>
      <c r="M1257" s="431" t="s">
        <v>590</v>
      </c>
      <c r="N1257" s="853">
        <f>J1257*L1257</f>
        <v>20</v>
      </c>
      <c r="O1257" s="827" t="s">
        <v>824</v>
      </c>
    </row>
    <row r="1258" spans="2:20">
      <c r="B1258" s="35"/>
      <c r="C1258"/>
      <c r="D1258"/>
      <c r="F1258" s="811"/>
      <c r="G1258" s="812"/>
      <c r="H1258" s="820" t="s">
        <v>656</v>
      </c>
      <c r="J1258" s="826">
        <f>1%*J1257</f>
        <v>0.25</v>
      </c>
      <c r="K1258" s="1091" t="s">
        <v>1239</v>
      </c>
      <c r="L1258" s="826">
        <v>3</v>
      </c>
      <c r="M1258" s="431" t="s">
        <v>590</v>
      </c>
      <c r="N1258" s="853">
        <f>J1258*L1258</f>
        <v>0.75</v>
      </c>
      <c r="O1258" s="827" t="s">
        <v>824</v>
      </c>
    </row>
    <row r="1259" spans="2:20">
      <c r="B1259" s="35"/>
      <c r="C1259"/>
      <c r="D1259"/>
      <c r="F1259" s="811"/>
      <c r="G1259" s="812"/>
      <c r="H1259" s="820"/>
      <c r="J1259" s="826"/>
      <c r="K1259" s="814"/>
      <c r="L1259" s="826"/>
      <c r="M1259" s="431"/>
      <c r="N1259" s="853"/>
    </row>
    <row r="1260" spans="2:20">
      <c r="B1260" s="35"/>
      <c r="C1260"/>
      <c r="D1260" s="104" t="s">
        <v>1174</v>
      </c>
      <c r="E1260"/>
      <c r="F1260"/>
      <c r="G1260"/>
      <c r="H1260"/>
      <c r="I1260"/>
      <c r="J1260"/>
      <c r="K1260"/>
      <c r="N1260"/>
      <c r="O1260" s="1576"/>
      <c r="P1260" s="1576"/>
      <c r="Q1260"/>
      <c r="R1260"/>
      <c r="S1260"/>
    </row>
    <row r="1261" spans="2:20">
      <c r="B1261" s="5"/>
      <c r="C1261"/>
      <c r="D1261"/>
      <c r="E1261" t="s">
        <v>95</v>
      </c>
      <c r="F1261"/>
      <c r="G1261"/>
      <c r="H1261"/>
      <c r="I1261"/>
      <c r="J1261"/>
      <c r="K1261"/>
      <c r="M1261" s="1550"/>
      <c r="N1261" s="1550"/>
      <c r="O1261" s="1550">
        <f>(N1240-N1241)/N1249</f>
        <v>16000</v>
      </c>
      <c r="P1261" s="1550"/>
      <c r="Q1261" s="84" t="s">
        <v>354</v>
      </c>
      <c r="R1261"/>
      <c r="S1261"/>
    </row>
    <row r="1262" spans="2:20">
      <c r="B1262" s="5"/>
      <c r="C1262" s="1232"/>
      <c r="D1262" s="1232"/>
      <c r="E1262" s="95" t="s">
        <v>843</v>
      </c>
      <c r="F1262" s="95"/>
      <c r="G1262" s="95"/>
      <c r="H1262" s="95"/>
      <c r="I1262" s="95"/>
      <c r="J1262" s="95"/>
      <c r="K1262" s="95"/>
      <c r="L1262" s="34"/>
      <c r="M1262" s="1577"/>
      <c r="N1262" s="1577"/>
      <c r="O1262" s="1577">
        <f>(N1240+N1241)/2*N1244%</f>
        <v>3240</v>
      </c>
      <c r="P1262" s="1577"/>
      <c r="Q1262" s="1248" t="s">
        <v>354</v>
      </c>
      <c r="R1262" s="1232"/>
      <c r="S1262" s="1232"/>
    </row>
    <row r="1263" spans="2:20">
      <c r="B1263" s="35"/>
      <c r="C1263"/>
      <c r="D1263"/>
      <c r="E1263" s="801" t="s">
        <v>1425</v>
      </c>
      <c r="F1263" s="801"/>
      <c r="G1263" s="801"/>
      <c r="H1263" s="801"/>
      <c r="I1263" s="801"/>
      <c r="J1263" s="801"/>
      <c r="K1263" s="801"/>
      <c r="L1263" s="552"/>
      <c r="M1263" s="1557"/>
      <c r="N1263" s="1557"/>
      <c r="O1263" s="1557">
        <f>N1245%*N1240</f>
        <v>1560</v>
      </c>
      <c r="P1263" s="1557"/>
      <c r="Q1263" s="843" t="s">
        <v>354</v>
      </c>
      <c r="R1263"/>
      <c r="S1263"/>
    </row>
    <row r="1264" spans="2:20">
      <c r="B1264" s="35"/>
      <c r="C1264"/>
      <c r="D1264"/>
      <c r="E1264" t="s">
        <v>1175</v>
      </c>
      <c r="F1264"/>
      <c r="G1264"/>
      <c r="H1264"/>
      <c r="I1264"/>
      <c r="J1264"/>
      <c r="K1264"/>
      <c r="M1264" s="1550"/>
      <c r="N1264" s="1550"/>
      <c r="O1264" s="1550">
        <f>SUM(O1261:P1263)</f>
        <v>20800</v>
      </c>
      <c r="P1264" s="1550"/>
      <c r="Q1264" s="84" t="s">
        <v>354</v>
      </c>
      <c r="R1264"/>
      <c r="S1264"/>
    </row>
    <row r="1265" spans="2:21">
      <c r="B1265" s="35"/>
      <c r="C1265"/>
      <c r="D1265" s="830"/>
      <c r="E1265" s="830" t="s">
        <v>667</v>
      </c>
      <c r="F1265" s="830"/>
      <c r="G1265" s="830"/>
      <c r="H1265" s="830"/>
      <c r="I1265" s="830"/>
      <c r="J1265" s="830"/>
      <c r="K1265" s="830"/>
      <c r="L1265" s="154"/>
      <c r="M1265" s="1553"/>
      <c r="N1265" s="1553"/>
      <c r="O1265" s="1553">
        <f>O1264/N1252</f>
        <v>83.2</v>
      </c>
      <c r="P1265" s="1553"/>
      <c r="Q1265" s="845" t="s">
        <v>353</v>
      </c>
      <c r="R1265"/>
      <c r="S1265"/>
    </row>
    <row r="1266" spans="2:21" ht="18.600000000000001">
      <c r="B1266" s="88"/>
      <c r="C1266"/>
      <c r="D1266" s="6" t="s">
        <v>1176</v>
      </c>
      <c r="E1266"/>
      <c r="F1266"/>
      <c r="G1266"/>
      <c r="H1266"/>
      <c r="I1266"/>
      <c r="J1266"/>
      <c r="K1266"/>
      <c r="M1266" s="1554"/>
      <c r="N1266" s="1554"/>
      <c r="O1266" s="1554"/>
      <c r="P1266" s="1554"/>
      <c r="Q1266"/>
      <c r="R1266"/>
      <c r="S1266"/>
    </row>
    <row r="1267" spans="2:21">
      <c r="B1267" s="35"/>
      <c r="C1267"/>
      <c r="D1267"/>
      <c r="E1267" t="s">
        <v>93</v>
      </c>
      <c r="F1267"/>
      <c r="G1267"/>
      <c r="H1267"/>
      <c r="I1267"/>
      <c r="J1267"/>
      <c r="K1267"/>
      <c r="M1267" s="1555"/>
      <c r="N1267" s="1555"/>
      <c r="O1267" s="1555">
        <f>N1256</f>
        <v>18.149999999999999</v>
      </c>
      <c r="P1267" s="1555"/>
      <c r="Q1267" s="84" t="s">
        <v>353</v>
      </c>
      <c r="R1267"/>
      <c r="S1267"/>
    </row>
    <row r="1268" spans="2:21">
      <c r="B1268" s="35"/>
      <c r="C1268"/>
      <c r="D1268"/>
      <c r="E1268" s="801" t="s">
        <v>685</v>
      </c>
      <c r="F1268" s="801"/>
      <c r="G1268" s="801"/>
      <c r="H1268" s="801"/>
      <c r="I1268" s="801"/>
      <c r="J1268" s="801"/>
      <c r="K1268" s="801"/>
      <c r="L1268" s="552"/>
      <c r="M1268" s="1556"/>
      <c r="N1268" s="1556"/>
      <c r="O1268" s="1556">
        <f>N1257+N1258</f>
        <v>20.75</v>
      </c>
      <c r="P1268" s="1556"/>
      <c r="Q1268" s="843" t="s">
        <v>353</v>
      </c>
      <c r="R1268"/>
      <c r="S1268"/>
    </row>
    <row r="1269" spans="2:21">
      <c r="B1269" s="35"/>
      <c r="C1269"/>
      <c r="D1269"/>
      <c r="E1269" t="s">
        <v>665</v>
      </c>
      <c r="F1269"/>
      <c r="G1269"/>
      <c r="H1269"/>
      <c r="I1269"/>
      <c r="J1269"/>
      <c r="K1269"/>
      <c r="M1269" s="1555"/>
      <c r="N1269" s="1555"/>
      <c r="O1269" s="1555">
        <f>SUM(O1267:P1268)</f>
        <v>38.9</v>
      </c>
      <c r="P1269" s="1555"/>
      <c r="Q1269" s="84" t="s">
        <v>353</v>
      </c>
      <c r="R1269"/>
      <c r="S1269"/>
    </row>
    <row r="1270" spans="2:21">
      <c r="B1270" s="35"/>
      <c r="C1270"/>
      <c r="D1270" s="830"/>
      <c r="E1270" s="830" t="s">
        <v>666</v>
      </c>
      <c r="F1270" s="830"/>
      <c r="G1270" s="830"/>
      <c r="H1270" s="830"/>
      <c r="I1270" s="830"/>
      <c r="J1270" s="830"/>
      <c r="K1270" s="830"/>
      <c r="L1270" s="154"/>
      <c r="M1270" s="1558"/>
      <c r="N1270" s="1558"/>
      <c r="O1270" s="1558">
        <f>O1269*N1252</f>
        <v>9725</v>
      </c>
      <c r="P1270" s="1558"/>
      <c r="Q1270" s="845" t="s">
        <v>354</v>
      </c>
      <c r="R1270"/>
      <c r="S1270"/>
    </row>
    <row r="1271" spans="2:21" ht="18.600000000000001">
      <c r="B1271" s="88"/>
      <c r="C1271"/>
      <c r="D1271" s="104" t="s">
        <v>637</v>
      </c>
      <c r="E1271"/>
      <c r="F1271"/>
      <c r="G1271"/>
      <c r="H1271"/>
      <c r="I1271"/>
      <c r="J1271"/>
      <c r="K1271"/>
      <c r="M1271" s="1554"/>
      <c r="N1271" s="1554"/>
      <c r="O1271" s="1554"/>
      <c r="P1271" s="1554"/>
      <c r="S1271"/>
    </row>
    <row r="1272" spans="2:21">
      <c r="B1272" s="35"/>
      <c r="C1272"/>
      <c r="D1272" s="104"/>
      <c r="E1272" t="s">
        <v>1171</v>
      </c>
      <c r="F1272"/>
      <c r="G1272"/>
      <c r="H1272"/>
      <c r="I1272"/>
      <c r="J1272"/>
      <c r="K1272"/>
      <c r="M1272" s="1549"/>
      <c r="N1272" s="1549"/>
      <c r="O1272" s="1549">
        <f>O1264+P1270</f>
        <v>20800</v>
      </c>
      <c r="P1272" s="1549"/>
      <c r="Q1272" s="84" t="s">
        <v>354</v>
      </c>
      <c r="S1272"/>
    </row>
    <row r="1273" spans="2:21">
      <c r="B1273" s="35"/>
      <c r="C1273"/>
      <c r="D1273" s="846"/>
      <c r="E1273" s="830" t="s">
        <v>668</v>
      </c>
      <c r="F1273" s="830"/>
      <c r="G1273" s="830"/>
      <c r="H1273" s="830"/>
      <c r="I1273" s="830"/>
      <c r="J1273" s="830"/>
      <c r="K1273" s="830"/>
      <c r="L1273" s="154"/>
      <c r="M1273" s="1584"/>
      <c r="N1273" s="1584"/>
      <c r="O1273" s="1584">
        <f>O1269+O1265</f>
        <v>122.1</v>
      </c>
      <c r="P1273" s="1584"/>
      <c r="Q1273" s="845" t="s">
        <v>353</v>
      </c>
      <c r="R1273"/>
      <c r="S1273"/>
    </row>
    <row r="1274" spans="2:21">
      <c r="B1274" s="35"/>
      <c r="C1274" s="13"/>
      <c r="D1274" s="13"/>
      <c r="E1274" s="13"/>
      <c r="F1274" s="13"/>
      <c r="G1274" s="13"/>
      <c r="H1274" s="13"/>
      <c r="I1274" s="13"/>
      <c r="J1274" s="13"/>
      <c r="K1274" s="13"/>
      <c r="L1274" s="13"/>
      <c r="M1274" s="13"/>
      <c r="N1274" s="13"/>
      <c r="S1274" s="1178"/>
      <c r="T1274" s="1178"/>
      <c r="U1274" s="1178"/>
    </row>
    <row r="1275" spans="2:21">
      <c r="B1275" s="35"/>
      <c r="C1275" s="13"/>
      <c r="D1275" s="13"/>
      <c r="E1275" s="13"/>
      <c r="F1275" s="13"/>
      <c r="G1275" s="13"/>
      <c r="H1275" s="13"/>
      <c r="I1275" s="13"/>
      <c r="J1275" s="13"/>
      <c r="K1275" s="13"/>
      <c r="L1275" s="13"/>
      <c r="M1275" s="13"/>
      <c r="N1275" s="13"/>
    </row>
    <row r="1276" spans="2:21" ht="20.399999999999999">
      <c r="C1276" s="169" t="s">
        <v>836</v>
      </c>
      <c r="D1276" s="76"/>
      <c r="E1276"/>
      <c r="F1276" s="70" t="s">
        <v>357</v>
      </c>
      <c r="G1276" s="35"/>
    </row>
    <row r="1277" spans="2:21" ht="18.600000000000001">
      <c r="C1277" s="639" t="s">
        <v>141</v>
      </c>
      <c r="D1277" s="168"/>
      <c r="E1277" s="35"/>
      <c r="F1277" s="640" t="s">
        <v>1177</v>
      </c>
      <c r="G1277"/>
      <c r="H1277"/>
      <c r="I1277"/>
      <c r="J1277"/>
    </row>
    <row r="1278" spans="2:21">
      <c r="B1278"/>
      <c r="C1278" s="37" t="s">
        <v>1178</v>
      </c>
      <c r="D1278" s="35"/>
      <c r="E1278"/>
      <c r="F1278"/>
    </row>
    <row r="1279" spans="2:21">
      <c r="B1279"/>
      <c r="C1279" s="36" t="s">
        <v>171</v>
      </c>
      <c r="D1279" s="35"/>
      <c r="E1279"/>
      <c r="F1279"/>
    </row>
    <row r="1280" spans="2:21">
      <c r="C1280" s="36" t="s">
        <v>172</v>
      </c>
      <c r="D1280" s="35"/>
    </row>
    <row r="1281" spans="3:16">
      <c r="C1281" s="36" t="s">
        <v>173</v>
      </c>
      <c r="D1281" s="35"/>
    </row>
    <row r="1282" spans="3:16">
      <c r="C1282" s="37" t="s">
        <v>999</v>
      </c>
      <c r="D1282" s="35"/>
    </row>
    <row r="1283" spans="3:16">
      <c r="C1283" s="37" t="s">
        <v>998</v>
      </c>
      <c r="D1283" s="35"/>
    </row>
    <row r="1284" spans="3:16">
      <c r="C1284" s="37" t="s">
        <v>997</v>
      </c>
      <c r="D1284" s="35"/>
    </row>
    <row r="1286" spans="3:16">
      <c r="D1286" s="186" t="s">
        <v>1181</v>
      </c>
      <c r="E1286" s="424"/>
      <c r="F1286" s="185"/>
      <c r="G1286" s="185"/>
      <c r="H1286" s="185"/>
      <c r="I1286" s="185"/>
      <c r="J1286" s="185"/>
      <c r="K1286" s="185"/>
      <c r="L1286" s="424"/>
      <c r="M1286" s="424"/>
      <c r="N1286" s="424"/>
      <c r="O1286" s="424"/>
      <c r="P1286" s="425"/>
    </row>
    <row r="1287" spans="3:16">
      <c r="D1287" s="65"/>
      <c r="E1287" s="135" t="s">
        <v>1182</v>
      </c>
      <c r="F1287" s="59"/>
      <c r="G1287" s="59"/>
      <c r="H1287" s="59"/>
      <c r="I1287" s="59"/>
      <c r="J1287" s="59"/>
      <c r="K1287" s="59"/>
      <c r="L1287" s="59"/>
      <c r="M1287" s="59"/>
      <c r="N1287" s="59"/>
      <c r="O1287" s="59"/>
      <c r="P1287" s="52"/>
    </row>
    <row r="1288" spans="3:16">
      <c r="D1288" s="51"/>
      <c r="E1288" s="90" t="s">
        <v>842</v>
      </c>
      <c r="F1288" s="11" t="s">
        <v>1183</v>
      </c>
      <c r="G1288" s="35"/>
      <c r="H1288" s="35"/>
      <c r="I1288" s="35"/>
      <c r="J1288" s="35"/>
      <c r="K1288" s="35"/>
      <c r="L1288" s="35"/>
      <c r="M1288" s="35"/>
      <c r="N1288" s="35"/>
      <c r="O1288" s="35"/>
      <c r="P1288" s="53"/>
    </row>
    <row r="1289" spans="3:16">
      <c r="D1289" s="51"/>
      <c r="E1289" s="90" t="s">
        <v>842</v>
      </c>
      <c r="F1289" s="11" t="s">
        <v>174</v>
      </c>
      <c r="G1289" s="35"/>
      <c r="H1289" s="35"/>
      <c r="I1289" s="35"/>
      <c r="J1289" s="35"/>
      <c r="K1289" s="35"/>
      <c r="L1289" s="35"/>
      <c r="M1289" s="35"/>
      <c r="N1289" s="35"/>
      <c r="O1289" s="35"/>
      <c r="P1289" s="53"/>
    </row>
    <row r="1290" spans="3:16">
      <c r="D1290" s="51"/>
      <c r="E1290" s="90" t="s">
        <v>842</v>
      </c>
      <c r="F1290" s="11" t="s">
        <v>1184</v>
      </c>
      <c r="G1290" s="35"/>
      <c r="H1290" s="35"/>
      <c r="I1290" s="35"/>
      <c r="J1290" s="35"/>
      <c r="K1290" s="35"/>
      <c r="L1290" s="35"/>
      <c r="M1290" s="35"/>
      <c r="N1290" s="35"/>
      <c r="O1290" s="35"/>
      <c r="P1290" s="53"/>
    </row>
    <row r="1291" spans="3:16">
      <c r="D1291" s="616"/>
      <c r="E1291" s="617" t="s">
        <v>842</v>
      </c>
      <c r="F1291" s="618" t="s">
        <v>175</v>
      </c>
      <c r="G1291" s="619"/>
      <c r="H1291" s="619"/>
      <c r="I1291" s="619"/>
      <c r="J1291" s="619"/>
      <c r="K1291" s="619"/>
      <c r="L1291" s="619"/>
      <c r="M1291" s="619"/>
      <c r="N1291" s="619"/>
      <c r="O1291" s="619"/>
      <c r="P1291" s="620"/>
    </row>
    <row r="1292" spans="3:16">
      <c r="D1292" s="66" t="s">
        <v>1185</v>
      </c>
      <c r="E1292" s="36" t="s">
        <v>1186</v>
      </c>
      <c r="F1292" s="35"/>
      <c r="G1292" s="35"/>
      <c r="H1292" s="35"/>
      <c r="I1292" s="35"/>
      <c r="J1292" s="35"/>
      <c r="K1292" s="35"/>
      <c r="L1292" s="35"/>
      <c r="M1292" s="35"/>
      <c r="N1292" s="35"/>
      <c r="O1292" s="35"/>
      <c r="P1292" s="53"/>
    </row>
    <row r="1293" spans="3:16">
      <c r="D1293" s="51"/>
      <c r="E1293" s="90" t="s">
        <v>842</v>
      </c>
      <c r="F1293" s="11" t="s">
        <v>1187</v>
      </c>
      <c r="G1293" s="35"/>
      <c r="H1293" s="35"/>
      <c r="I1293" s="35"/>
      <c r="J1293" s="35"/>
      <c r="K1293" s="35"/>
      <c r="L1293" s="35"/>
      <c r="M1293" s="35"/>
      <c r="N1293" s="35"/>
      <c r="O1293" s="35"/>
      <c r="P1293" s="53"/>
    </row>
    <row r="1294" spans="3:16">
      <c r="D1294" s="51"/>
      <c r="E1294" s="90" t="s">
        <v>842</v>
      </c>
      <c r="F1294" s="11" t="s">
        <v>358</v>
      </c>
      <c r="G1294" s="35"/>
      <c r="H1294" s="35"/>
      <c r="I1294" s="35"/>
      <c r="J1294" s="35"/>
      <c r="K1294" s="35"/>
      <c r="L1294" s="35"/>
      <c r="M1294" s="35"/>
      <c r="N1294" s="35"/>
      <c r="O1294" s="35"/>
      <c r="P1294" s="53"/>
    </row>
    <row r="1295" spans="3:16">
      <c r="D1295" s="616"/>
      <c r="E1295" s="617" t="s">
        <v>842</v>
      </c>
      <c r="F1295" s="618" t="s">
        <v>1189</v>
      </c>
      <c r="G1295" s="619"/>
      <c r="H1295" s="619"/>
      <c r="I1295" s="619"/>
      <c r="J1295" s="619"/>
      <c r="K1295" s="619"/>
      <c r="L1295" s="619"/>
      <c r="M1295" s="619"/>
      <c r="N1295" s="619"/>
      <c r="O1295" s="619"/>
      <c r="P1295" s="620"/>
    </row>
    <row r="1296" spans="3:16">
      <c r="D1296" s="67" t="s">
        <v>63</v>
      </c>
      <c r="E1296" s="21" t="s">
        <v>1177</v>
      </c>
      <c r="F1296" s="38"/>
      <c r="G1296" s="38"/>
      <c r="H1296" s="38"/>
      <c r="I1296" s="38"/>
      <c r="J1296" s="38"/>
      <c r="K1296" s="38"/>
      <c r="L1296" s="38"/>
      <c r="M1296" s="38"/>
      <c r="N1296" s="38"/>
      <c r="O1296" s="38"/>
      <c r="P1296" s="54"/>
    </row>
    <row r="1298" spans="2:17">
      <c r="C1298" s="391" t="s">
        <v>1312</v>
      </c>
    </row>
    <row r="1299" spans="2:17">
      <c r="C1299" s="98" t="str">
        <f>"Auf Basis der in Übersicht "&amp;FIXED(B1238,0)&amp;" dargestellten Kostenkalkulation für einen Mähdrescher ergeben sich"</f>
        <v>Auf Basis der in Übersicht 14 dargestellten Kostenkalkulation für einen Mähdrescher ergeben sich</v>
      </c>
    </row>
    <row r="1300" spans="2:17">
      <c r="C1300" s="98" t="s">
        <v>1564</v>
      </c>
    </row>
    <row r="1301" spans="2:17" ht="18.600000000000001">
      <c r="B1301" s="182"/>
      <c r="D1301" s="98" t="s">
        <v>1301</v>
      </c>
      <c r="P1301" s="828">
        <f>O1265</f>
        <v>83.2</v>
      </c>
      <c r="Q1301" s="84" t="s">
        <v>353</v>
      </c>
    </row>
    <row r="1302" spans="2:17">
      <c r="C1302" s="98" t="s">
        <v>1185</v>
      </c>
      <c r="D1302" s="98" t="s">
        <v>1302</v>
      </c>
      <c r="P1302" s="828">
        <f>O1269</f>
        <v>38.9</v>
      </c>
      <c r="Q1302" s="84" t="s">
        <v>353</v>
      </c>
    </row>
    <row r="1303" spans="2:17">
      <c r="C1303" s="1171" t="s">
        <v>63</v>
      </c>
      <c r="D1303" s="1171" t="s">
        <v>1303</v>
      </c>
      <c r="E1303" s="154"/>
      <c r="F1303" s="154"/>
      <c r="G1303" s="154"/>
      <c r="H1303" s="154"/>
      <c r="I1303" s="154"/>
      <c r="J1303" s="154"/>
      <c r="K1303" s="154"/>
      <c r="L1303" s="154"/>
      <c r="M1303" s="154"/>
      <c r="N1303" s="154"/>
      <c r="O1303" s="154"/>
      <c r="P1303" s="1182">
        <f>P1301+P1302</f>
        <v>122.1</v>
      </c>
      <c r="Q1303" s="845" t="s">
        <v>353</v>
      </c>
    </row>
    <row r="1304" spans="2:17" ht="14.4">
      <c r="C1304" s="98" t="s">
        <v>1185</v>
      </c>
      <c r="D1304" s="98" t="s">
        <v>1306</v>
      </c>
      <c r="K1304" s="33">
        <v>14</v>
      </c>
      <c r="L1304" s="1179" t="s">
        <v>1305</v>
      </c>
      <c r="M1304" s="1178">
        <v>0.7</v>
      </c>
      <c r="N1304" s="1178" t="s">
        <v>1304</v>
      </c>
      <c r="P1304" s="828">
        <f>M1304*K1304</f>
        <v>9.7999999999999989</v>
      </c>
      <c r="Q1304" s="84" t="s">
        <v>353</v>
      </c>
    </row>
    <row r="1305" spans="2:17">
      <c r="C1305" s="1134" t="s">
        <v>63</v>
      </c>
      <c r="D1305" s="1134" t="s">
        <v>1177</v>
      </c>
      <c r="E1305" s="530"/>
      <c r="F1305" s="530"/>
      <c r="G1305" s="530"/>
      <c r="H1305" s="530"/>
      <c r="I1305" s="530"/>
      <c r="J1305" s="530"/>
      <c r="K1305" s="530"/>
      <c r="L1305" s="530"/>
      <c r="M1305" s="530"/>
      <c r="N1305" s="530"/>
      <c r="O1305" s="530"/>
      <c r="P1305" s="1185">
        <f>P1303+P1304</f>
        <v>131.9</v>
      </c>
      <c r="Q1305" s="1184" t="s">
        <v>353</v>
      </c>
    </row>
    <row r="1306" spans="2:17">
      <c r="Q1306" s="1337" t="s">
        <v>1565</v>
      </c>
    </row>
    <row r="1307" spans="2:17">
      <c r="C1307" s="391" t="s">
        <v>1311</v>
      </c>
    </row>
    <row r="1308" spans="2:17">
      <c r="C1308" s="98" t="str">
        <f>"Auf Basis der in Übersicht "&amp;FIXED(B1184,0)&amp;" dargestellten Kostenkalkulation für einen Traktor mit 600 h Einsatz-"</f>
        <v>Auf Basis der in Übersicht 13 dargestellten Kostenkalkulation für einen Traktor mit 600 h Einsatz-</v>
      </c>
    </row>
    <row r="1309" spans="2:17">
      <c r="C1309" s="98" t="s">
        <v>1319</v>
      </c>
    </row>
    <row r="1310" spans="2:17" ht="18.600000000000001">
      <c r="B1310" s="182"/>
      <c r="C1310" s="98" t="s">
        <v>1330</v>
      </c>
      <c r="H1310" s="98" t="s">
        <v>1437</v>
      </c>
    </row>
    <row r="1311" spans="2:17">
      <c r="C1311" s="98"/>
      <c r="H1311" s="98" t="s">
        <v>1615</v>
      </c>
    </row>
    <row r="1312" spans="2:17">
      <c r="C1312" s="98"/>
      <c r="H1312" s="98" t="s">
        <v>1331</v>
      </c>
    </row>
    <row r="1313" spans="2:22" ht="18.600000000000001">
      <c r="B1313" s="182"/>
      <c r="C1313" s="98" t="s">
        <v>1332</v>
      </c>
      <c r="H1313" s="98" t="s">
        <v>1438</v>
      </c>
    </row>
    <row r="1314" spans="2:22">
      <c r="C1314" s="98"/>
      <c r="H1314" s="98" t="s">
        <v>1616</v>
      </c>
    </row>
    <row r="1315" spans="2:22">
      <c r="C1315" s="98"/>
      <c r="H1315" s="98" t="s">
        <v>1333</v>
      </c>
    </row>
    <row r="1316" spans="2:22" ht="18.600000000000001">
      <c r="B1316" s="182"/>
      <c r="D1316" s="98" t="s">
        <v>1325</v>
      </c>
      <c r="L1316" s="828">
        <f>ROUND(O1211,S1316)</f>
        <v>16.670000000000002</v>
      </c>
      <c r="M1316" s="84" t="s">
        <v>1321</v>
      </c>
      <c r="N1316" s="522">
        <v>0.97</v>
      </c>
      <c r="O1316" s="98" t="s">
        <v>1320</v>
      </c>
      <c r="P1316" s="522">
        <f>ROUND(L1316/N1316,S1316)</f>
        <v>17.190000000000001</v>
      </c>
      <c r="Q1316" s="84" t="s">
        <v>353</v>
      </c>
      <c r="S1316" s="1494">
        <v>2</v>
      </c>
      <c r="T1316" s="1507" t="s">
        <v>1611</v>
      </c>
    </row>
    <row r="1317" spans="2:22">
      <c r="C1317" s="98" t="s">
        <v>1185</v>
      </c>
      <c r="D1317" s="98" t="s">
        <v>1326</v>
      </c>
      <c r="H1317" s="98" t="s">
        <v>655</v>
      </c>
      <c r="I1317" s="828">
        <f>O1197</f>
        <v>9.6</v>
      </c>
      <c r="J1317" s="84" t="s">
        <v>1309</v>
      </c>
      <c r="K1317" s="1187">
        <v>1.3</v>
      </c>
      <c r="L1317" s="522">
        <f>ROUND(I1317*K1317,S1317)</f>
        <v>12.48</v>
      </c>
      <c r="M1317" s="84" t="s">
        <v>1321</v>
      </c>
      <c r="N1317" s="522">
        <f>N1316</f>
        <v>0.97</v>
      </c>
      <c r="O1317" s="98" t="s">
        <v>1320</v>
      </c>
      <c r="P1317" s="522">
        <f t="shared" ref="P1317:P1323" si="17">ROUND(L1317/N1317,S1317)</f>
        <v>12.87</v>
      </c>
      <c r="Q1317" s="84" t="s">
        <v>353</v>
      </c>
      <c r="S1317" s="1494">
        <v>2</v>
      </c>
      <c r="T1317" s="1507" t="s">
        <v>1611</v>
      </c>
    </row>
    <row r="1318" spans="2:22">
      <c r="H1318" s="98" t="s">
        <v>1307</v>
      </c>
      <c r="L1318" s="828">
        <f>O1198</f>
        <v>0.4</v>
      </c>
      <c r="M1318" s="84" t="s">
        <v>1321</v>
      </c>
      <c r="N1318" s="522">
        <f t="shared" ref="N1318:N1319" si="18">N1317</f>
        <v>0.97</v>
      </c>
      <c r="O1318" s="98" t="s">
        <v>1320</v>
      </c>
      <c r="P1318" s="522">
        <f t="shared" si="17"/>
        <v>0.41</v>
      </c>
      <c r="Q1318" s="84" t="s">
        <v>353</v>
      </c>
      <c r="S1318" s="1494">
        <v>2</v>
      </c>
      <c r="T1318" s="1507" t="s">
        <v>1611</v>
      </c>
    </row>
    <row r="1319" spans="2:22">
      <c r="H1319" s="98" t="s">
        <v>1308</v>
      </c>
      <c r="L1319" s="828">
        <f>O1215</f>
        <v>6.62</v>
      </c>
      <c r="M1319" s="84" t="s">
        <v>1321</v>
      </c>
      <c r="N1319" s="522">
        <f t="shared" si="18"/>
        <v>0.97</v>
      </c>
      <c r="O1319" s="98" t="s">
        <v>1320</v>
      </c>
      <c r="P1319" s="522">
        <f t="shared" si="17"/>
        <v>6.82</v>
      </c>
      <c r="Q1319" s="84" t="s">
        <v>353</v>
      </c>
      <c r="S1319" s="1494">
        <v>2</v>
      </c>
      <c r="T1319" s="1507" t="s">
        <v>1611</v>
      </c>
    </row>
    <row r="1320" spans="2:22">
      <c r="C1320" s="1134" t="s">
        <v>63</v>
      </c>
      <c r="D1320" s="1134" t="s">
        <v>1310</v>
      </c>
      <c r="E1320" s="530"/>
      <c r="F1320" s="530"/>
      <c r="G1320" s="530"/>
      <c r="H1320" s="530"/>
      <c r="I1320" s="530"/>
      <c r="J1320" s="530"/>
      <c r="K1320" s="530"/>
      <c r="L1320" s="1183">
        <f>SUM(L1316:L1319)</f>
        <v>36.17</v>
      </c>
      <c r="M1320" s="1184" t="s">
        <v>1321</v>
      </c>
      <c r="N1320" s="1183">
        <f>N1319</f>
        <v>0.97</v>
      </c>
      <c r="O1320" s="1134" t="s">
        <v>1320</v>
      </c>
      <c r="P1320" s="1183">
        <f>SUM(P1316:P1319)</f>
        <v>37.290000000000006</v>
      </c>
      <c r="Q1320" s="1184" t="s">
        <v>353</v>
      </c>
    </row>
    <row r="1321" spans="2:22">
      <c r="C1321" s="98" t="s">
        <v>1185</v>
      </c>
      <c r="D1321" s="98" t="s">
        <v>1327</v>
      </c>
      <c r="H1321" s="98" t="s">
        <v>1313</v>
      </c>
      <c r="I1321" s="33">
        <v>23000</v>
      </c>
      <c r="J1321" s="98" t="s">
        <v>1323</v>
      </c>
      <c r="L1321" s="98">
        <f>ROUND(I1321/14,0)</f>
        <v>1643</v>
      </c>
      <c r="M1321" s="98" t="s">
        <v>1322</v>
      </c>
      <c r="N1321" s="33">
        <f>3000*70%/14</f>
        <v>150</v>
      </c>
      <c r="O1321" s="1069" t="s">
        <v>1613</v>
      </c>
      <c r="P1321" s="1180">
        <f t="shared" si="17"/>
        <v>10.95</v>
      </c>
      <c r="Q1321" s="84" t="s">
        <v>353</v>
      </c>
      <c r="S1321" s="1494">
        <v>2</v>
      </c>
      <c r="T1321" s="1507" t="s">
        <v>1611</v>
      </c>
    </row>
    <row r="1322" spans="2:22">
      <c r="H1322" s="98" t="s">
        <v>1314</v>
      </c>
      <c r="I1322" s="33">
        <f>I1321</f>
        <v>23000</v>
      </c>
      <c r="J1322" s="98" t="s">
        <v>1324</v>
      </c>
      <c r="L1322" s="33">
        <f>I1322/2*3%</f>
        <v>345</v>
      </c>
      <c r="M1322" s="33" t="s">
        <v>1322</v>
      </c>
      <c r="N1322" s="33">
        <f>N1321</f>
        <v>150</v>
      </c>
      <c r="O1322" s="1069" t="s">
        <v>1613</v>
      </c>
      <c r="P1322" s="1180">
        <f t="shared" si="17"/>
        <v>2.2999999999999998</v>
      </c>
      <c r="Q1322" s="84" t="s">
        <v>353</v>
      </c>
      <c r="S1322" s="1494">
        <v>2</v>
      </c>
      <c r="T1322" s="1507" t="s">
        <v>1611</v>
      </c>
    </row>
    <row r="1323" spans="2:22">
      <c r="H1323" s="98" t="s">
        <v>91</v>
      </c>
      <c r="J1323" s="98"/>
      <c r="L1323" s="33">
        <v>160</v>
      </c>
      <c r="M1323" s="33" t="s">
        <v>1322</v>
      </c>
      <c r="N1323" s="33">
        <f>N1322</f>
        <v>150</v>
      </c>
      <c r="O1323" s="1069" t="s">
        <v>1613</v>
      </c>
      <c r="P1323" s="1180">
        <f t="shared" si="17"/>
        <v>1.07</v>
      </c>
      <c r="Q1323" s="84" t="s">
        <v>353</v>
      </c>
      <c r="S1323" s="1494">
        <v>2</v>
      </c>
      <c r="T1323" s="1507" t="s">
        <v>1611</v>
      </c>
    </row>
    <row r="1324" spans="2:22" ht="14.4">
      <c r="C1324" s="98" t="s">
        <v>1185</v>
      </c>
      <c r="D1324" s="98" t="s">
        <v>1328</v>
      </c>
      <c r="H1324" s="98" t="s">
        <v>1308</v>
      </c>
      <c r="I1324" s="98" t="s">
        <v>1317</v>
      </c>
      <c r="J1324" s="146">
        <v>0.7</v>
      </c>
      <c r="K1324" s="98" t="s">
        <v>1329</v>
      </c>
      <c r="L1324" s="522">
        <v>12</v>
      </c>
      <c r="M1324" s="84" t="s">
        <v>1318</v>
      </c>
      <c r="N1324" s="1523">
        <f>ROUND(J1324^0.35,U1324)</f>
        <v>0.88300000000000001</v>
      </c>
      <c r="O1324" s="1186" t="s">
        <v>63</v>
      </c>
      <c r="P1324" s="522">
        <f>ROUND(L1324*N1324,S1324)</f>
        <v>10.6</v>
      </c>
      <c r="Q1324" s="84" t="s">
        <v>353</v>
      </c>
      <c r="S1324" s="1494">
        <v>2</v>
      </c>
      <c r="T1324" s="1507" t="s">
        <v>1611</v>
      </c>
      <c r="U1324" s="1494">
        <v>3</v>
      </c>
      <c r="V1324" s="1507" t="s">
        <v>1612</v>
      </c>
    </row>
    <row r="1325" spans="2:22">
      <c r="C1325" s="1134" t="s">
        <v>63</v>
      </c>
      <c r="D1325" s="1134" t="s">
        <v>1316</v>
      </c>
      <c r="E1325" s="530"/>
      <c r="F1325" s="530"/>
      <c r="G1325" s="530"/>
      <c r="H1325" s="530"/>
      <c r="I1325" s="530"/>
      <c r="J1325" s="530"/>
      <c r="K1325" s="530"/>
      <c r="L1325" s="530"/>
      <c r="M1325" s="530"/>
      <c r="N1325" s="530"/>
      <c r="O1325" s="530"/>
      <c r="P1325" s="1183">
        <f>SUM(P1320:P1324)</f>
        <v>62.210000000000008</v>
      </c>
      <c r="Q1325" s="1184" t="s">
        <v>353</v>
      </c>
    </row>
    <row r="1326" spans="2:22" ht="14.4">
      <c r="C1326" s="98" t="s">
        <v>1185</v>
      </c>
      <c r="D1326" s="98" t="s">
        <v>1306</v>
      </c>
      <c r="J1326" s="33">
        <v>14</v>
      </c>
      <c r="K1326" s="1179" t="s">
        <v>1305</v>
      </c>
      <c r="L1326" s="1178">
        <v>1.22</v>
      </c>
      <c r="M1326" s="1178" t="s">
        <v>1304</v>
      </c>
      <c r="P1326" s="828">
        <f>ROUND(L1326*J1326,S1326)</f>
        <v>17.079999999999998</v>
      </c>
      <c r="Q1326" s="84" t="s">
        <v>353</v>
      </c>
      <c r="S1326" s="1494">
        <v>2</v>
      </c>
      <c r="T1326" s="1507" t="s">
        <v>1611</v>
      </c>
    </row>
    <row r="1327" spans="2:22">
      <c r="C1327" s="1134" t="s">
        <v>63</v>
      </c>
      <c r="D1327" s="1134" t="s">
        <v>1177</v>
      </c>
      <c r="E1327" s="530"/>
      <c r="F1327" s="530"/>
      <c r="G1327" s="530"/>
      <c r="H1327" s="530"/>
      <c r="I1327" s="530"/>
      <c r="J1327" s="530"/>
      <c r="K1327" s="530"/>
      <c r="L1327" s="530"/>
      <c r="M1327" s="530"/>
      <c r="N1327" s="530"/>
      <c r="O1327" s="530"/>
      <c r="P1327" s="1183">
        <f>P1325+P1326</f>
        <v>79.290000000000006</v>
      </c>
      <c r="Q1327" s="1184" t="s">
        <v>353</v>
      </c>
    </row>
    <row r="1329" spans="1:17" ht="18.600000000000001">
      <c r="C1329" s="639" t="s">
        <v>142</v>
      </c>
      <c r="D1329" s="168"/>
      <c r="E1329" s="35"/>
      <c r="F1329" s="640" t="s">
        <v>1179</v>
      </c>
      <c r="G1329"/>
      <c r="H1329"/>
      <c r="I1329"/>
      <c r="J1329"/>
    </row>
    <row r="1330" spans="1:17">
      <c r="C1330" s="36" t="s">
        <v>1180</v>
      </c>
      <c r="D1330" s="35"/>
      <c r="E1330" s="35"/>
      <c r="F1330" s="35"/>
      <c r="G1330" s="35"/>
      <c r="H1330" s="35"/>
      <c r="I1330" s="35"/>
      <c r="J1330" s="35"/>
      <c r="K1330" s="35"/>
      <c r="L1330" s="35"/>
      <c r="M1330" s="35"/>
      <c r="N1330" s="35"/>
      <c r="O1330" s="35"/>
      <c r="P1330" s="35"/>
      <c r="Q1330" s="35"/>
    </row>
    <row r="1331" spans="1:17">
      <c r="C1331" s="36" t="s">
        <v>1099</v>
      </c>
      <c r="D1331" s="35"/>
      <c r="E1331" s="35"/>
      <c r="F1331" s="35"/>
      <c r="G1331" s="35"/>
      <c r="H1331" s="35"/>
      <c r="I1331" s="35"/>
      <c r="J1331" s="35"/>
      <c r="K1331" s="35"/>
      <c r="L1331" s="35"/>
      <c r="M1331" s="35"/>
      <c r="N1331" s="35"/>
      <c r="O1331" s="35"/>
      <c r="P1331" s="35"/>
      <c r="Q1331" s="35"/>
    </row>
    <row r="1332" spans="1:17">
      <c r="C1332" s="37" t="s">
        <v>1098</v>
      </c>
      <c r="D1332" s="35"/>
      <c r="E1332" s="35"/>
      <c r="F1332" s="35"/>
      <c r="G1332" s="35"/>
      <c r="H1332" s="35"/>
      <c r="I1332" s="35"/>
      <c r="J1332" s="35"/>
      <c r="K1332" s="35"/>
      <c r="L1332" s="35"/>
      <c r="M1332" s="35"/>
      <c r="N1332" s="35"/>
      <c r="O1332" s="35"/>
      <c r="P1332" s="35"/>
      <c r="Q1332" s="35"/>
    </row>
    <row r="1333" spans="1:17" ht="18.600000000000001">
      <c r="B1333" s="182"/>
      <c r="C1333" s="37" t="s">
        <v>1095</v>
      </c>
      <c r="D1333" s="35"/>
      <c r="E1333" s="35"/>
      <c r="F1333" s="35" t="s">
        <v>1094</v>
      </c>
      <c r="G1333" s="35"/>
      <c r="H1333" s="35"/>
      <c r="I1333" s="35"/>
      <c r="J1333" s="35"/>
      <c r="K1333" s="35"/>
      <c r="L1333" s="35"/>
      <c r="M1333" s="35"/>
      <c r="N1333" s="35"/>
      <c r="O1333" s="35"/>
      <c r="P1333" s="35"/>
      <c r="Q1333" s="35"/>
    </row>
    <row r="1334" spans="1:17" ht="18.600000000000001">
      <c r="B1334" s="182"/>
      <c r="C1334" s="37" t="s">
        <v>1096</v>
      </c>
      <c r="D1334" s="35"/>
      <c r="E1334" s="35"/>
      <c r="F1334" s="35"/>
      <c r="G1334" s="35"/>
      <c r="H1334" s="35"/>
      <c r="I1334" s="35"/>
      <c r="J1334" s="35"/>
      <c r="K1334" s="35"/>
      <c r="L1334" s="35"/>
      <c r="M1334" s="35"/>
      <c r="N1334" s="35"/>
      <c r="O1334" s="35"/>
      <c r="P1334" s="35"/>
      <c r="Q1334" s="35"/>
    </row>
    <row r="1335" spans="1:17" ht="18.600000000000001">
      <c r="B1335" s="89"/>
      <c r="C1335" s="50" t="s">
        <v>840</v>
      </c>
      <c r="D1335" s="136" t="s">
        <v>1192</v>
      </c>
      <c r="E1335" s="68"/>
      <c r="F1335" s="68"/>
      <c r="G1335" s="68"/>
      <c r="H1335" s="68"/>
      <c r="I1335" s="68"/>
      <c r="J1335" s="68"/>
      <c r="K1335" s="68"/>
      <c r="L1335" s="68"/>
      <c r="M1335" s="68"/>
      <c r="O1335" s="68"/>
      <c r="P1335" s="68"/>
      <c r="Q1335" s="35"/>
    </row>
    <row r="1336" spans="1:17">
      <c r="D1336" s="32"/>
      <c r="E1336" s="32" t="s">
        <v>1000</v>
      </c>
      <c r="F1336" s="68"/>
      <c r="G1336" s="68"/>
      <c r="H1336" s="68"/>
      <c r="I1336" s="68"/>
      <c r="J1336" s="68"/>
      <c r="K1336" s="68"/>
      <c r="L1336" s="68"/>
      <c r="M1336" s="68"/>
      <c r="O1336" s="68"/>
      <c r="P1336" s="68"/>
      <c r="Q1336" s="35"/>
    </row>
    <row r="1337" spans="1:17" ht="18.600000000000001">
      <c r="B1337" s="89"/>
      <c r="C1337" s="50" t="s">
        <v>840</v>
      </c>
      <c r="D1337" s="136" t="s">
        <v>191</v>
      </c>
      <c r="E1337" s="68"/>
      <c r="F1337" s="68"/>
      <c r="G1337" s="68"/>
      <c r="H1337" s="68"/>
      <c r="I1337" s="68"/>
      <c r="J1337" s="68"/>
      <c r="K1337" s="68"/>
      <c r="L1337" s="68"/>
      <c r="M1337" s="68"/>
      <c r="O1337" s="68"/>
      <c r="P1337" s="68"/>
      <c r="Q1337" s="35"/>
    </row>
    <row r="1338" spans="1:17">
      <c r="D1338" s="110"/>
      <c r="E1338" s="110" t="s">
        <v>1001</v>
      </c>
      <c r="F1338" s="68"/>
      <c r="G1338" s="68"/>
      <c r="H1338" s="68"/>
      <c r="I1338" s="68"/>
      <c r="J1338" s="68"/>
      <c r="K1338" s="68"/>
      <c r="L1338" s="68"/>
      <c r="M1338" s="68"/>
      <c r="O1338" s="68"/>
      <c r="P1338" s="68"/>
      <c r="Q1338" s="35"/>
    </row>
    <row r="1339" spans="1:17" s="48" customFormat="1" ht="18.600000000000001">
      <c r="A1339" s="26"/>
      <c r="B1339" s="89"/>
      <c r="C1339" s="50" t="s">
        <v>840</v>
      </c>
      <c r="D1339" s="136" t="s">
        <v>193</v>
      </c>
      <c r="E1339" s="32"/>
      <c r="F1339" s="32"/>
      <c r="G1339" s="32"/>
      <c r="H1339" s="32"/>
      <c r="I1339" s="32"/>
      <c r="J1339" s="32"/>
      <c r="K1339" s="32"/>
      <c r="L1339" s="32"/>
      <c r="M1339" s="32"/>
      <c r="O1339" s="32"/>
      <c r="P1339" s="32"/>
      <c r="Q1339" s="37"/>
    </row>
    <row r="1340" spans="1:17">
      <c r="C1340" s="50" t="s">
        <v>840</v>
      </c>
      <c r="D1340" s="137" t="s">
        <v>929</v>
      </c>
      <c r="F1340" s="43"/>
      <c r="G1340" s="43"/>
      <c r="H1340" s="43"/>
      <c r="I1340" s="43"/>
      <c r="J1340" s="43"/>
      <c r="K1340" s="43"/>
      <c r="L1340" s="43"/>
      <c r="M1340" s="43"/>
      <c r="O1340" s="43"/>
      <c r="P1340" s="43"/>
      <c r="Q1340" s="35"/>
    </row>
    <row r="1341" spans="1:17">
      <c r="C1341" s="37"/>
      <c r="D1341" s="35"/>
      <c r="E1341" s="35"/>
      <c r="F1341" s="35"/>
      <c r="G1341" s="35"/>
      <c r="H1341" s="35"/>
      <c r="I1341" s="35"/>
      <c r="J1341" s="35"/>
      <c r="K1341" s="35"/>
      <c r="L1341" s="35"/>
      <c r="M1341" s="35"/>
      <c r="N1341" s="35"/>
      <c r="O1341" s="35"/>
      <c r="P1341" s="35"/>
      <c r="Q1341" s="35"/>
    </row>
    <row r="1342" spans="1:17">
      <c r="C1342" s="197" t="s">
        <v>1097</v>
      </c>
      <c r="D1342" s="35"/>
      <c r="E1342" s="35"/>
      <c r="F1342" s="35"/>
      <c r="G1342" s="35"/>
      <c r="H1342" s="35"/>
      <c r="I1342" s="35"/>
      <c r="J1342" s="35"/>
      <c r="K1342" s="35"/>
      <c r="L1342" s="35"/>
      <c r="M1342" s="35"/>
      <c r="N1342" s="35"/>
      <c r="O1342" s="35"/>
      <c r="P1342" s="35"/>
      <c r="Q1342" s="35"/>
    </row>
    <row r="1343" spans="1:17">
      <c r="C1343" s="37" t="s">
        <v>341</v>
      </c>
      <c r="D1343" s="35"/>
      <c r="E1343" s="35"/>
      <c r="F1343" s="35"/>
      <c r="G1343" s="35"/>
      <c r="H1343" s="35"/>
      <c r="I1343" s="35"/>
      <c r="J1343" s="35"/>
      <c r="K1343" s="35"/>
      <c r="L1343" s="35"/>
      <c r="M1343" s="35"/>
      <c r="N1343" s="35"/>
      <c r="O1343" s="35"/>
      <c r="P1343" s="35"/>
      <c r="Q1343" s="35"/>
    </row>
    <row r="1344" spans="1:17">
      <c r="C1344" s="37"/>
      <c r="D1344" s="35"/>
      <c r="E1344" s="35"/>
      <c r="F1344" s="35"/>
      <c r="G1344" s="35"/>
      <c r="H1344" s="35"/>
      <c r="I1344" s="35"/>
      <c r="J1344" s="35"/>
      <c r="K1344" s="35"/>
      <c r="L1344" s="35"/>
      <c r="M1344" s="35"/>
      <c r="N1344" s="35"/>
      <c r="O1344" s="35"/>
      <c r="P1344" s="35"/>
      <c r="Q1344" s="35"/>
    </row>
    <row r="1345" spans="3:17">
      <c r="C1345" s="37"/>
      <c r="D1345" s="35"/>
      <c r="E1345" s="35"/>
      <c r="F1345" s="35"/>
      <c r="G1345" s="35"/>
      <c r="H1345" s="35"/>
      <c r="I1345" s="35"/>
      <c r="J1345" s="35"/>
      <c r="K1345" s="35"/>
      <c r="L1345" s="35"/>
      <c r="M1345" s="35"/>
      <c r="N1345" s="35"/>
      <c r="O1345" s="35"/>
      <c r="P1345" s="35"/>
      <c r="Q1345" s="35"/>
    </row>
    <row r="1346" spans="3:17" ht="18.600000000000001">
      <c r="C1346" s="639" t="s">
        <v>143</v>
      </c>
      <c r="D1346" s="168"/>
      <c r="E1346" s="35"/>
      <c r="F1346" s="640" t="s">
        <v>356</v>
      </c>
      <c r="G1346"/>
      <c r="H1346"/>
      <c r="I1346"/>
      <c r="J1346"/>
    </row>
    <row r="1347" spans="3:17">
      <c r="C1347" s="1072" t="s">
        <v>1354</v>
      </c>
      <c r="D1347" s="35"/>
      <c r="E1347" s="35"/>
      <c r="F1347" s="35"/>
      <c r="G1347" s="35"/>
      <c r="H1347" s="35"/>
      <c r="I1347" s="35"/>
      <c r="J1347" s="35"/>
      <c r="K1347" s="35"/>
      <c r="L1347" s="35"/>
      <c r="M1347" s="35"/>
      <c r="N1347" s="35"/>
      <c r="O1347" s="35"/>
      <c r="P1347" s="35"/>
      <c r="Q1347" s="35"/>
    </row>
    <row r="1348" spans="3:17">
      <c r="C1348" s="98" t="s">
        <v>1355</v>
      </c>
      <c r="D1348" s="35"/>
      <c r="E1348" s="35"/>
      <c r="F1348" s="35"/>
      <c r="G1348" s="35"/>
      <c r="H1348" s="35"/>
      <c r="I1348" s="35"/>
      <c r="J1348" s="35"/>
      <c r="K1348" s="35"/>
      <c r="L1348" s="35"/>
      <c r="M1348" s="35"/>
      <c r="N1348" s="35"/>
      <c r="O1348" s="35"/>
      <c r="P1348" s="35"/>
      <c r="Q1348" s="35"/>
    </row>
    <row r="1349" spans="3:17">
      <c r="C1349" s="1072" t="s">
        <v>1356</v>
      </c>
      <c r="D1349" s="35"/>
      <c r="E1349" s="35"/>
      <c r="F1349" s="35"/>
      <c r="G1349" s="35"/>
      <c r="H1349" s="35"/>
      <c r="I1349" s="35"/>
      <c r="J1349" s="35"/>
      <c r="K1349" s="35"/>
      <c r="L1349" s="35"/>
      <c r="M1349" s="35"/>
      <c r="N1349" s="35"/>
      <c r="O1349" s="35"/>
      <c r="P1349" s="35"/>
      <c r="Q1349" s="35"/>
    </row>
    <row r="1350" spans="3:17">
      <c r="C1350" s="37" t="s">
        <v>1357</v>
      </c>
      <c r="D1350" s="35"/>
      <c r="E1350" s="35"/>
      <c r="F1350" s="35"/>
      <c r="G1350" s="35"/>
      <c r="H1350" s="35"/>
      <c r="I1350" s="35"/>
      <c r="J1350" s="35"/>
      <c r="K1350" s="35"/>
      <c r="L1350" s="35"/>
      <c r="M1350" s="35"/>
      <c r="N1350" s="35"/>
      <c r="O1350" s="35"/>
      <c r="P1350" s="35"/>
      <c r="Q1350" s="35"/>
    </row>
    <row r="1351" spans="3:17">
      <c r="C1351" s="37" t="s">
        <v>407</v>
      </c>
      <c r="D1351" s="35"/>
      <c r="E1351" s="35"/>
      <c r="F1351" s="35"/>
      <c r="G1351" s="35"/>
      <c r="H1351" s="35"/>
      <c r="I1351" s="35"/>
      <c r="J1351" s="35"/>
      <c r="K1351" s="35"/>
      <c r="L1351" s="35"/>
      <c r="M1351" s="35"/>
      <c r="N1351" s="35"/>
      <c r="O1351" s="35"/>
      <c r="P1351" s="35"/>
      <c r="Q1351" s="35"/>
    </row>
    <row r="1352" spans="3:17">
      <c r="C1352" s="37" t="s">
        <v>408</v>
      </c>
      <c r="D1352" s="35"/>
      <c r="E1352" s="35"/>
      <c r="F1352" s="35"/>
      <c r="G1352" s="35"/>
      <c r="H1352" s="35"/>
      <c r="I1352" s="35"/>
      <c r="J1352" s="35"/>
      <c r="K1352" s="35"/>
      <c r="L1352" s="35"/>
      <c r="M1352" s="35"/>
      <c r="N1352" s="35"/>
      <c r="O1352" s="35"/>
      <c r="P1352" s="35"/>
      <c r="Q1352" s="35"/>
    </row>
    <row r="1353" spans="3:17">
      <c r="C1353" s="37" t="s">
        <v>359</v>
      </c>
      <c r="D1353" s="35"/>
      <c r="E1353" s="35"/>
      <c r="F1353" s="35"/>
      <c r="G1353" s="35"/>
      <c r="H1353" s="35"/>
      <c r="I1353" s="35"/>
      <c r="J1353" s="35"/>
      <c r="K1353" s="35"/>
      <c r="L1353" s="35"/>
      <c r="M1353" s="35"/>
      <c r="N1353" s="35"/>
      <c r="O1353" s="35"/>
      <c r="P1353" s="35"/>
      <c r="Q1353" s="35"/>
    </row>
    <row r="1354" spans="3:17">
      <c r="C1354" s="37" t="s">
        <v>1109</v>
      </c>
      <c r="D1354" s="35"/>
      <c r="E1354" s="35"/>
      <c r="F1354" s="35"/>
      <c r="G1354" s="35"/>
      <c r="H1354" s="35"/>
      <c r="I1354" s="35"/>
      <c r="J1354" s="35"/>
      <c r="K1354" s="35"/>
      <c r="L1354" s="35"/>
      <c r="M1354" s="35"/>
      <c r="N1354" s="35"/>
      <c r="O1354" s="35"/>
      <c r="P1354" s="35"/>
      <c r="Q1354" s="35"/>
    </row>
    <row r="1355" spans="3:17">
      <c r="C1355" s="1072" t="s">
        <v>1358</v>
      </c>
      <c r="D1355" s="35"/>
      <c r="E1355" s="35"/>
      <c r="F1355" s="35"/>
      <c r="G1355" s="35"/>
      <c r="H1355" s="35"/>
      <c r="I1355" s="35"/>
      <c r="J1355" s="35"/>
      <c r="K1355" s="35"/>
      <c r="L1355" s="35"/>
      <c r="M1355" s="35"/>
      <c r="N1355" s="35"/>
      <c r="O1355" s="35"/>
      <c r="P1355" s="35"/>
      <c r="Q1355" s="35"/>
    </row>
    <row r="1356" spans="3:17">
      <c r="C1356" s="1072" t="s">
        <v>360</v>
      </c>
      <c r="D1356" s="35"/>
      <c r="E1356" s="35"/>
      <c r="F1356" s="35"/>
      <c r="G1356" s="35"/>
      <c r="H1356" s="35"/>
      <c r="I1356" s="35"/>
      <c r="J1356" s="35"/>
      <c r="K1356" s="35"/>
      <c r="L1356" s="35"/>
      <c r="M1356" s="35"/>
      <c r="N1356" s="35"/>
      <c r="O1356" s="35"/>
      <c r="P1356" s="35"/>
      <c r="Q1356" s="35"/>
    </row>
    <row r="1357" spans="3:17">
      <c r="C1357" s="37"/>
      <c r="D1357" s="35"/>
      <c r="E1357" s="35"/>
      <c r="F1357" s="35"/>
      <c r="G1357" s="35"/>
      <c r="H1357" s="35"/>
      <c r="I1357" s="35"/>
      <c r="J1357" s="35"/>
      <c r="K1357" s="35"/>
      <c r="L1357" s="35"/>
      <c r="M1357" s="35"/>
      <c r="N1357" s="35"/>
      <c r="O1357" s="35"/>
      <c r="P1357" s="35"/>
      <c r="Q1357" s="35"/>
    </row>
    <row r="1358" spans="3:17">
      <c r="C1358" s="37"/>
      <c r="D1358" s="35"/>
      <c r="E1358" s="35"/>
      <c r="F1358" s="35"/>
      <c r="G1358" s="35"/>
      <c r="H1358" s="35"/>
      <c r="I1358" s="35"/>
      <c r="J1358" s="35"/>
      <c r="K1358" s="35"/>
      <c r="L1358" s="35"/>
      <c r="M1358" s="35"/>
      <c r="N1358" s="35"/>
      <c r="O1358" s="35"/>
      <c r="P1358" s="35"/>
      <c r="Q1358" s="35"/>
    </row>
    <row r="1359" spans="3:17">
      <c r="C1359" s="37"/>
      <c r="D1359" s="35"/>
      <c r="E1359" s="35"/>
      <c r="F1359" s="35"/>
      <c r="G1359" s="35"/>
      <c r="H1359" s="35"/>
      <c r="I1359" s="35"/>
      <c r="J1359" s="35"/>
      <c r="K1359" s="35"/>
      <c r="L1359" s="35"/>
      <c r="M1359" s="35"/>
      <c r="N1359" s="35"/>
      <c r="O1359" s="35"/>
      <c r="P1359" s="35"/>
      <c r="Q1359" s="35"/>
    </row>
    <row r="1360" spans="3:17" ht="11.25" customHeight="1">
      <c r="C1360" s="37"/>
      <c r="D1360" s="60" t="s">
        <v>1102</v>
      </c>
      <c r="E1360" s="60"/>
      <c r="F1360" s="60"/>
      <c r="G1360" s="60"/>
      <c r="H1360" s="60"/>
      <c r="J1360" s="35"/>
      <c r="K1360" s="35"/>
      <c r="L1360" s="35"/>
      <c r="M1360" s="35"/>
      <c r="N1360" s="35"/>
      <c r="O1360" s="35"/>
      <c r="P1360" s="35"/>
      <c r="Q1360" s="35"/>
    </row>
    <row r="1361" spans="3:17" ht="11.25" customHeight="1">
      <c r="C1361" s="37"/>
      <c r="D1361" s="60" t="s">
        <v>1104</v>
      </c>
      <c r="E1361" s="60"/>
      <c r="F1361" s="60"/>
      <c r="G1361" s="60"/>
      <c r="H1361" s="60"/>
      <c r="I1361" s="428" t="s">
        <v>1108</v>
      </c>
      <c r="J1361" s="198"/>
      <c r="K1361" s="198"/>
      <c r="L1361" s="198"/>
      <c r="M1361" s="198"/>
      <c r="N1361" s="198"/>
      <c r="O1361" s="198"/>
      <c r="P1361" s="198"/>
      <c r="Q1361" s="35"/>
    </row>
    <row r="1362" spans="3:17" ht="11.25" customHeight="1">
      <c r="C1362" s="37"/>
      <c r="D1362" s="60" t="s">
        <v>1103</v>
      </c>
      <c r="E1362" s="60"/>
      <c r="F1362" s="60"/>
      <c r="G1362" s="60"/>
      <c r="H1362" s="60"/>
      <c r="J1362" s="35"/>
      <c r="K1362" s="35"/>
      <c r="L1362" s="35"/>
      <c r="M1362" s="35"/>
      <c r="N1362" s="35"/>
      <c r="O1362" s="35"/>
      <c r="P1362" s="35"/>
      <c r="Q1362" s="35"/>
    </row>
    <row r="1363" spans="3:17">
      <c r="C1363" s="37"/>
      <c r="D1363" s="35"/>
      <c r="E1363" s="35"/>
      <c r="F1363" s="35"/>
      <c r="G1363" s="35"/>
      <c r="H1363" s="35"/>
      <c r="I1363" s="35"/>
      <c r="J1363" s="35"/>
      <c r="K1363" s="35"/>
      <c r="L1363" s="35"/>
      <c r="M1363" s="35"/>
      <c r="N1363" s="35"/>
      <c r="O1363" s="35"/>
      <c r="P1363" s="35"/>
      <c r="Q1363" s="35"/>
    </row>
    <row r="1364" spans="3:17">
      <c r="C1364" s="37"/>
      <c r="D1364" s="35"/>
      <c r="E1364" s="35"/>
      <c r="F1364" s="35"/>
      <c r="G1364" s="35"/>
      <c r="H1364" s="35"/>
      <c r="I1364" s="35"/>
      <c r="J1364" s="35"/>
      <c r="K1364" s="35"/>
      <c r="L1364" s="35"/>
      <c r="M1364" s="35"/>
      <c r="N1364" s="35"/>
      <c r="O1364" s="35"/>
      <c r="P1364" s="35"/>
      <c r="Q1364" s="35"/>
    </row>
    <row r="1365" spans="3:17">
      <c r="C1365" s="37" t="s">
        <v>1105</v>
      </c>
      <c r="D1365" s="35"/>
      <c r="E1365" s="35"/>
      <c r="F1365" s="35"/>
      <c r="G1365" s="35"/>
      <c r="H1365" s="35"/>
      <c r="I1365" s="35"/>
      <c r="J1365" s="35"/>
      <c r="K1365" s="35"/>
      <c r="L1365" s="35"/>
      <c r="M1365" s="35"/>
      <c r="N1365" s="35"/>
      <c r="O1365" s="35"/>
      <c r="P1365" s="35"/>
      <c r="Q1365" s="35"/>
    </row>
    <row r="1366" spans="3:17">
      <c r="C1366" s="37"/>
      <c r="D1366" s="35"/>
      <c r="E1366" s="35"/>
      <c r="F1366" s="35"/>
      <c r="G1366" s="35"/>
      <c r="H1366" s="35"/>
      <c r="I1366" s="35"/>
      <c r="J1366" s="35"/>
      <c r="K1366" s="35"/>
      <c r="L1366" s="35"/>
      <c r="M1366" s="35"/>
      <c r="N1366" s="35"/>
      <c r="O1366" s="35"/>
      <c r="P1366" s="35"/>
      <c r="Q1366" s="35"/>
    </row>
    <row r="1367" spans="3:17">
      <c r="C1367" s="37"/>
      <c r="D1367" s="35"/>
      <c r="E1367" s="35"/>
      <c r="F1367" s="35"/>
      <c r="G1367" s="35"/>
      <c r="H1367" s="35"/>
      <c r="I1367" s="35"/>
      <c r="J1367" s="35"/>
      <c r="K1367" s="35"/>
      <c r="L1367" s="35"/>
      <c r="M1367" s="35"/>
      <c r="N1367" s="35"/>
      <c r="O1367" s="35"/>
      <c r="P1367" s="35"/>
      <c r="Q1367" s="35"/>
    </row>
    <row r="1368" spans="3:17" ht="11.25" customHeight="1">
      <c r="C1368" s="37"/>
      <c r="D1368" s="35"/>
      <c r="E1368" s="35"/>
      <c r="F1368" s="35"/>
      <c r="G1368" s="35"/>
      <c r="H1368" s="35"/>
      <c r="I1368" s="60" t="s">
        <v>344</v>
      </c>
      <c r="J1368" s="60"/>
      <c r="K1368" s="60"/>
      <c r="L1368" s="60"/>
      <c r="M1368" s="40"/>
      <c r="N1368" s="40"/>
      <c r="O1368" s="40"/>
      <c r="P1368" s="40"/>
      <c r="Q1368" s="40"/>
    </row>
    <row r="1369" spans="3:17" ht="11.25" customHeight="1">
      <c r="C1369" s="37"/>
      <c r="D1369" s="98" t="s">
        <v>1334</v>
      </c>
      <c r="H1369" s="138"/>
      <c r="I1369" s="60" t="s">
        <v>1106</v>
      </c>
      <c r="J1369" s="60"/>
      <c r="K1369" s="60"/>
      <c r="L1369" s="60"/>
      <c r="M1369" s="40"/>
      <c r="N1369" s="40"/>
      <c r="O1369" s="40"/>
      <c r="P1369" s="40"/>
      <c r="Q1369" s="40"/>
    </row>
    <row r="1370" spans="3:17" ht="11.25" customHeight="1">
      <c r="C1370" s="37"/>
      <c r="I1370" s="60" t="s">
        <v>345</v>
      </c>
      <c r="J1370" s="60"/>
      <c r="K1370" s="60"/>
      <c r="L1370" s="60"/>
      <c r="M1370" s="40"/>
      <c r="N1370" s="40"/>
      <c r="O1370" s="40"/>
      <c r="P1370" s="40"/>
      <c r="Q1370" s="40"/>
    </row>
    <row r="1371" spans="3:17" ht="11.25" customHeight="1">
      <c r="C1371" s="37"/>
      <c r="F1371" s="48"/>
      <c r="G1371" s="48"/>
      <c r="H1371" s="48"/>
      <c r="I1371" s="48" t="s">
        <v>346</v>
      </c>
      <c r="J1371" s="48"/>
      <c r="K1371" s="48"/>
      <c r="L1371" s="48"/>
      <c r="M1371" s="37"/>
      <c r="N1371" s="37"/>
      <c r="O1371" s="37"/>
      <c r="P1371" s="37"/>
      <c r="Q1371" s="37"/>
    </row>
    <row r="1372" spans="3:17">
      <c r="C1372" s="37"/>
      <c r="D1372" s="110"/>
      <c r="E1372"/>
      <c r="F1372" s="31"/>
      <c r="G1372" s="35"/>
      <c r="H1372" s="35"/>
      <c r="I1372" s="35"/>
      <c r="J1372" s="35"/>
      <c r="K1372" s="35"/>
      <c r="L1372" s="35"/>
      <c r="M1372" s="35"/>
      <c r="N1372" s="35"/>
      <c r="O1372" s="35"/>
      <c r="P1372" s="35"/>
      <c r="Q1372" s="35"/>
    </row>
    <row r="1373" spans="3:17">
      <c r="C1373" s="37"/>
      <c r="D1373" s="110"/>
      <c r="E1373" s="1178"/>
      <c r="F1373" s="31"/>
      <c r="G1373" s="35"/>
      <c r="H1373" s="35"/>
      <c r="I1373" s="35"/>
      <c r="J1373" s="35"/>
      <c r="K1373" s="35"/>
      <c r="L1373" s="35"/>
      <c r="M1373" s="35"/>
      <c r="N1373" s="35"/>
      <c r="O1373" s="35"/>
      <c r="P1373" s="35"/>
      <c r="Q1373" s="35"/>
    </row>
    <row r="1374" spans="3:17">
      <c r="C1374" s="37" t="s">
        <v>588</v>
      </c>
      <c r="D1374" s="110"/>
      <c r="E1374"/>
      <c r="F1374" s="31" t="s">
        <v>1107</v>
      </c>
      <c r="G1374" s="35"/>
      <c r="H1374" s="35"/>
      <c r="I1374" s="35"/>
      <c r="J1374" s="35" t="s">
        <v>1110</v>
      </c>
      <c r="K1374" s="35"/>
      <c r="L1374" s="430">
        <v>27</v>
      </c>
      <c r="M1374" s="35" t="s">
        <v>1111</v>
      </c>
      <c r="O1374" s="35"/>
      <c r="P1374" s="35"/>
      <c r="Q1374" s="35"/>
    </row>
    <row r="1375" spans="3:17">
      <c r="C1375" s="37"/>
      <c r="D1375" s="110"/>
      <c r="E1375"/>
      <c r="F1375" s="31"/>
      <c r="G1375" s="35"/>
      <c r="H1375" s="35"/>
      <c r="I1375" s="35"/>
      <c r="J1375" s="35"/>
      <c r="K1375" s="35"/>
      <c r="L1375" s="35"/>
      <c r="M1375" s="35"/>
      <c r="N1375" s="35"/>
      <c r="O1375" s="35"/>
      <c r="P1375" s="35"/>
      <c r="Q1375" s="35"/>
    </row>
    <row r="1376" spans="3:17" ht="12" customHeight="1">
      <c r="C1376" s="37"/>
      <c r="D1376" s="110"/>
      <c r="E1376"/>
      <c r="F1376" s="429">
        <f>L1321+L1322+L1323</f>
        <v>2148</v>
      </c>
      <c r="G1376" s="35"/>
      <c r="H1376" s="35"/>
      <c r="I1376" s="35"/>
      <c r="J1376" s="35"/>
      <c r="K1376" s="35"/>
      <c r="L1376" s="35"/>
      <c r="N1376" s="429">
        <f>F1376</f>
        <v>2148</v>
      </c>
      <c r="O1376" s="35"/>
      <c r="P1376" s="35"/>
      <c r="Q1376" s="35"/>
    </row>
    <row r="1377" spans="3:17" ht="12" customHeight="1">
      <c r="C1377" s="37"/>
      <c r="D1377" s="110"/>
      <c r="E1377"/>
      <c r="F1377" s="50" t="s">
        <v>1113</v>
      </c>
      <c r="G1377" s="49" t="s">
        <v>1185</v>
      </c>
      <c r="H1377" s="49">
        <f>P1324</f>
        <v>10.6</v>
      </c>
      <c r="I1377" s="432">
        <f>$L$1374</f>
        <v>27</v>
      </c>
      <c r="J1377" s="392" t="s">
        <v>1136</v>
      </c>
      <c r="K1377" s="392" t="s">
        <v>1136</v>
      </c>
      <c r="L1377" s="57" t="s">
        <v>1114</v>
      </c>
      <c r="M1377" s="60" t="s">
        <v>1115</v>
      </c>
      <c r="N1377" s="40"/>
      <c r="O1377" s="40"/>
      <c r="P1377" s="655">
        <f>N1376/(M1378-O1378)</f>
        <v>130.97560975609758</v>
      </c>
      <c r="Q1377" s="33" t="s">
        <v>61</v>
      </c>
    </row>
    <row r="1378" spans="3:17" ht="12" customHeight="1">
      <c r="C1378" s="37"/>
      <c r="D1378" s="110"/>
      <c r="E1378"/>
      <c r="F1378" s="429" t="s">
        <v>1112</v>
      </c>
      <c r="G1378" s="35"/>
      <c r="H1378" s="35"/>
      <c r="I1378" s="35"/>
      <c r="J1378" s="35"/>
      <c r="K1378" s="35"/>
      <c r="L1378" s="35"/>
      <c r="M1378" s="57">
        <f>$L$1374</f>
        <v>27</v>
      </c>
      <c r="N1378" s="49" t="s">
        <v>264</v>
      </c>
      <c r="O1378" s="37">
        <f>H1377</f>
        <v>10.6</v>
      </c>
      <c r="P1378" s="35"/>
      <c r="Q1378" s="35"/>
    </row>
    <row r="1379" spans="3:17">
      <c r="C1379" s="37"/>
      <c r="D1379" s="110"/>
      <c r="E1379"/>
      <c r="F1379" s="31"/>
      <c r="G1379" s="35"/>
      <c r="H1379" s="35"/>
      <c r="I1379" s="35"/>
      <c r="J1379" s="35"/>
      <c r="K1379" s="35"/>
      <c r="L1379" s="35"/>
      <c r="M1379" s="35"/>
      <c r="N1379" s="35"/>
      <c r="O1379" s="35"/>
      <c r="P1379" s="35"/>
      <c r="Q1379" s="35"/>
    </row>
    <row r="1380" spans="3:17">
      <c r="C1380" s="37"/>
      <c r="D1380" s="110"/>
      <c r="E1380"/>
      <c r="F1380" s="78" t="s">
        <v>339</v>
      </c>
      <c r="G1380" s="35" t="str">
        <f>"Bei einem Einsatz von "&amp;FIXED(P1377,1)&amp;" ha je Jahr herrscht Kostengleichheit"</f>
        <v>Bei einem Einsatz von 131,0 ha je Jahr herrscht Kostengleichheit</v>
      </c>
      <c r="H1380" s="35"/>
      <c r="I1380" s="35"/>
      <c r="J1380" s="35"/>
      <c r="K1380" s="35"/>
      <c r="L1380" s="35"/>
      <c r="M1380" s="35"/>
      <c r="N1380" s="35"/>
      <c r="O1380" s="35"/>
      <c r="P1380" s="35"/>
      <c r="Q1380" s="35"/>
    </row>
    <row r="1381" spans="3:17">
      <c r="C1381" s="37"/>
      <c r="D1381" s="110"/>
      <c r="E1381"/>
      <c r="F1381" s="78" t="s">
        <v>339</v>
      </c>
      <c r="G1381" s="35" t="str">
        <f>"Bei einem Einsatz von &gt; "&amp;FIXED(P1377,1)&amp;" ha je Jahr ist der eigene Pflug günstiger"</f>
        <v>Bei einem Einsatz von &gt; 131,0 ha je Jahr ist der eigene Pflug günstiger</v>
      </c>
      <c r="H1381" s="35"/>
      <c r="I1381" s="35"/>
      <c r="J1381" s="35"/>
      <c r="K1381" s="35"/>
      <c r="L1381" s="35"/>
      <c r="M1381" s="35"/>
      <c r="N1381" s="35"/>
      <c r="O1381" s="35"/>
      <c r="P1381" s="35"/>
      <c r="Q1381" s="35"/>
    </row>
    <row r="1382" spans="3:17">
      <c r="C1382" s="37"/>
      <c r="D1382" s="110"/>
      <c r="E1382"/>
      <c r="F1382" s="78" t="s">
        <v>339</v>
      </c>
      <c r="G1382" s="35" t="str">
        <f>"Bei einem Einsatz von &lt; "&amp;FIXED(P1377,1)&amp;" ha je Jahr ist der geliehene Pflug günstiger"</f>
        <v>Bei einem Einsatz von &lt; 131,0 ha je Jahr ist der geliehene Pflug günstiger</v>
      </c>
      <c r="H1382" s="35"/>
      <c r="I1382" s="35"/>
      <c r="J1382" s="35"/>
      <c r="K1382" s="35"/>
      <c r="L1382" s="35"/>
      <c r="M1382" s="35"/>
      <c r="N1382" s="35"/>
      <c r="O1382" s="35"/>
      <c r="P1382" s="35"/>
      <c r="Q1382" s="35"/>
    </row>
    <row r="1383" spans="3:17">
      <c r="C1383" s="37"/>
      <c r="D1383" s="110"/>
      <c r="E1383"/>
      <c r="F1383" s="31"/>
      <c r="G1383" s="35"/>
      <c r="H1383" s="35"/>
      <c r="I1383" s="35"/>
      <c r="J1383" s="35"/>
      <c r="K1383" s="35"/>
      <c r="L1383" s="35"/>
      <c r="M1383" s="35"/>
      <c r="N1383" s="35"/>
      <c r="O1383" s="35"/>
      <c r="P1383" s="35"/>
      <c r="Q1383" s="35"/>
    </row>
    <row r="1384" spans="3:17">
      <c r="C1384" s="1072" t="s">
        <v>1335</v>
      </c>
      <c r="D1384" s="31"/>
      <c r="E1384"/>
      <c r="F1384" s="138"/>
      <c r="G1384" s="110"/>
      <c r="H1384" s="35"/>
      <c r="I1384" s="35"/>
      <c r="J1384" s="35"/>
      <c r="K1384" s="35"/>
      <c r="L1384" s="35"/>
      <c r="M1384" s="35"/>
      <c r="N1384" s="35"/>
      <c r="O1384" s="35"/>
      <c r="P1384" s="35"/>
      <c r="Q1384" s="35"/>
    </row>
    <row r="1385" spans="3:17">
      <c r="C1385" s="37" t="s">
        <v>176</v>
      </c>
      <c r="D1385" s="31"/>
      <c r="E1385"/>
      <c r="F1385" s="138"/>
      <c r="G1385" s="110"/>
      <c r="H1385" s="35"/>
      <c r="I1385" s="35"/>
      <c r="J1385" s="35"/>
      <c r="K1385" s="35"/>
      <c r="L1385" s="35"/>
      <c r="M1385" s="35"/>
      <c r="N1385" s="35"/>
      <c r="O1385" s="35"/>
      <c r="P1385" s="35"/>
      <c r="Q1385" s="35"/>
    </row>
    <row r="1386" spans="3:17">
      <c r="C1386" s="37" t="s">
        <v>340</v>
      </c>
      <c r="D1386" s="31"/>
      <c r="E1386"/>
      <c r="F1386" s="138"/>
      <c r="G1386" s="110"/>
      <c r="H1386" s="35"/>
      <c r="I1386" s="35"/>
      <c r="J1386" s="35"/>
      <c r="K1386" s="35"/>
      <c r="L1386" s="35"/>
      <c r="M1386" s="35"/>
      <c r="N1386" s="35"/>
      <c r="O1386" s="35"/>
      <c r="P1386" s="35"/>
      <c r="Q1386" s="35"/>
    </row>
    <row r="1387" spans="3:17">
      <c r="C1387" s="37" t="s">
        <v>342</v>
      </c>
      <c r="D1387" s="31"/>
      <c r="E1387"/>
      <c r="F1387" s="138"/>
      <c r="G1387" s="110"/>
      <c r="H1387" s="35"/>
      <c r="I1387" s="35"/>
      <c r="J1387" s="35"/>
      <c r="K1387" s="35"/>
      <c r="L1387" s="35"/>
      <c r="M1387" s="35"/>
      <c r="N1387" s="35"/>
      <c r="O1387" s="35"/>
      <c r="P1387" s="35"/>
      <c r="Q1387" s="35"/>
    </row>
    <row r="1388" spans="3:17">
      <c r="C1388" s="37" t="s">
        <v>343</v>
      </c>
      <c r="D1388" s="31"/>
      <c r="E1388"/>
      <c r="F1388" s="138"/>
      <c r="G1388" s="110"/>
      <c r="H1388" s="35"/>
      <c r="I1388" s="35"/>
      <c r="J1388" s="35"/>
      <c r="K1388" s="35"/>
      <c r="L1388" s="35"/>
      <c r="M1388" s="35"/>
      <c r="N1388" s="35"/>
      <c r="O1388" s="35"/>
      <c r="P1388" s="35"/>
      <c r="Q1388" s="35"/>
    </row>
    <row r="1389" spans="3:17">
      <c r="C1389" s="37"/>
      <c r="D1389" s="31"/>
      <c r="E1389"/>
      <c r="F1389" s="138"/>
      <c r="G1389" s="110"/>
      <c r="H1389" s="35"/>
      <c r="I1389" s="35"/>
      <c r="J1389" s="35"/>
      <c r="K1389" s="35"/>
      <c r="L1389" s="35"/>
      <c r="M1389" s="35"/>
      <c r="N1389" s="35"/>
      <c r="O1389" s="35"/>
      <c r="P1389" s="35"/>
      <c r="Q1389" s="35"/>
    </row>
    <row r="1390" spans="3:17" ht="11.25" customHeight="1">
      <c r="C1390" s="37"/>
      <c r="D1390" s="35"/>
      <c r="E1390" s="35"/>
      <c r="F1390" s="35"/>
      <c r="G1390" s="35"/>
      <c r="H1390" s="35"/>
      <c r="I1390" s="60" t="s">
        <v>344</v>
      </c>
      <c r="J1390" s="60"/>
      <c r="K1390" s="60"/>
      <c r="L1390" s="60"/>
      <c r="M1390" s="40"/>
      <c r="N1390" s="40"/>
      <c r="O1390" s="40"/>
      <c r="P1390" s="40"/>
      <c r="Q1390" s="40"/>
    </row>
    <row r="1391" spans="3:17" ht="11.25" customHeight="1">
      <c r="C1391" s="37"/>
      <c r="D1391" s="33" t="s">
        <v>338</v>
      </c>
      <c r="H1391" s="138"/>
      <c r="I1391" s="60" t="s">
        <v>1106</v>
      </c>
      <c r="J1391" s="60"/>
      <c r="K1391" s="60"/>
      <c r="L1391" s="60"/>
      <c r="M1391" s="40"/>
      <c r="N1391" s="40"/>
      <c r="O1391" s="40"/>
      <c r="P1391" s="40"/>
      <c r="Q1391" s="40"/>
    </row>
    <row r="1392" spans="3:17" ht="11.25" customHeight="1">
      <c r="C1392" s="37"/>
      <c r="I1392" s="60" t="s">
        <v>347</v>
      </c>
      <c r="J1392" s="60"/>
      <c r="K1392" s="60"/>
      <c r="L1392" s="60"/>
      <c r="M1392" s="40" t="s">
        <v>264</v>
      </c>
      <c r="N1392" s="40" t="s">
        <v>349</v>
      </c>
      <c r="O1392" s="40"/>
      <c r="P1392" s="40"/>
      <c r="Q1392" s="40"/>
    </row>
    <row r="1393" spans="2:17" ht="11.25" customHeight="1">
      <c r="C1393" s="37"/>
      <c r="F1393" s="48"/>
      <c r="G1393" s="48"/>
      <c r="H1393" s="48"/>
      <c r="I1393" s="60" t="s">
        <v>348</v>
      </c>
      <c r="J1393" s="60"/>
      <c r="K1393" s="60"/>
      <c r="L1393" s="60"/>
      <c r="M1393" s="35"/>
      <c r="N1393" s="40" t="s">
        <v>190</v>
      </c>
      <c r="O1393" s="40"/>
      <c r="P1393" s="40"/>
      <c r="Q1393" s="40"/>
    </row>
    <row r="1394" spans="2:17">
      <c r="C1394" s="37"/>
      <c r="F1394" s="48"/>
      <c r="G1394" s="48"/>
      <c r="H1394" s="48"/>
      <c r="I1394" s="60"/>
      <c r="J1394" s="60"/>
      <c r="K1394" s="60"/>
      <c r="L1394" s="60"/>
      <c r="M1394" s="35"/>
      <c r="N1394" s="40"/>
      <c r="O1394" s="40"/>
      <c r="P1394" s="40"/>
      <c r="Q1394" s="40"/>
    </row>
    <row r="1395" spans="2:17">
      <c r="C1395" s="426"/>
      <c r="D1395" s="426"/>
      <c r="E1395" s="426"/>
      <c r="F1395" s="426"/>
      <c r="G1395" s="426"/>
      <c r="H1395" s="426"/>
      <c r="I1395" s="426"/>
      <c r="J1395" s="426"/>
      <c r="K1395" s="426"/>
      <c r="L1395" s="426"/>
      <c r="M1395" s="426"/>
      <c r="N1395" s="426"/>
      <c r="O1395" s="426"/>
      <c r="P1395"/>
      <c r="Q1395" s="35"/>
    </row>
    <row r="1396" spans="2:17">
      <c r="C1396" s="426"/>
      <c r="D1396" s="426"/>
      <c r="E1396" s="426"/>
      <c r="F1396" s="426"/>
      <c r="G1396" s="426"/>
      <c r="H1396" s="426"/>
      <c r="I1396" s="426"/>
      <c r="J1396" s="426"/>
      <c r="K1396" s="426"/>
      <c r="L1396" s="426"/>
      <c r="M1396" s="426"/>
      <c r="N1396" s="426"/>
      <c r="O1396" s="426"/>
      <c r="P1396"/>
      <c r="Q1396" s="35"/>
    </row>
    <row r="1397" spans="2:17">
      <c r="C1397" s="426"/>
      <c r="D1397" s="426"/>
      <c r="E1397" s="426"/>
      <c r="F1397" s="426"/>
      <c r="G1397" s="426"/>
      <c r="H1397" s="426"/>
      <c r="I1397" s="426"/>
      <c r="J1397" s="426"/>
      <c r="K1397" s="426"/>
      <c r="L1397" s="426"/>
      <c r="M1397" s="426"/>
      <c r="N1397" s="426"/>
      <c r="O1397" s="426"/>
      <c r="P1397"/>
      <c r="Q1397" s="35"/>
    </row>
    <row r="1398" spans="2:17">
      <c r="C1398" s="426"/>
      <c r="D1398" s="426"/>
      <c r="E1398" s="426"/>
      <c r="F1398" s="426"/>
      <c r="G1398" s="426"/>
      <c r="H1398" s="426"/>
      <c r="I1398" s="426"/>
      <c r="J1398" s="426"/>
      <c r="K1398" s="426"/>
      <c r="L1398" s="426"/>
      <c r="M1398" s="426"/>
      <c r="N1398" s="426"/>
      <c r="O1398" s="426"/>
      <c r="P1398"/>
      <c r="Q1398" s="35"/>
    </row>
    <row r="1399" spans="2:17">
      <c r="C1399" s="426"/>
      <c r="D1399" s="426"/>
      <c r="E1399" s="426"/>
      <c r="F1399" s="426"/>
      <c r="G1399" s="426"/>
      <c r="H1399" s="426"/>
      <c r="I1399" s="426"/>
      <c r="J1399" s="426"/>
      <c r="K1399" s="426"/>
      <c r="L1399" s="426"/>
      <c r="M1399" s="426"/>
      <c r="N1399" s="426"/>
      <c r="O1399" s="426"/>
      <c r="P1399"/>
      <c r="Q1399" s="35"/>
    </row>
    <row r="1400" spans="2:17" ht="11.25" customHeight="1">
      <c r="C1400" s="162"/>
      <c r="E1400" s="433" t="s">
        <v>195</v>
      </c>
      <c r="G1400" s="435" t="s">
        <v>350</v>
      </c>
      <c r="K1400" s="434"/>
      <c r="L1400" s="433"/>
      <c r="M1400" s="426"/>
      <c r="N1400" s="426"/>
      <c r="O1400" s="426"/>
      <c r="P1400"/>
      <c r="Q1400" s="35"/>
    </row>
    <row r="1401" spans="2:17" ht="11.25" customHeight="1">
      <c r="C1401" s="162"/>
      <c r="E1401" s="435" t="s">
        <v>196</v>
      </c>
      <c r="G1401" s="222" t="s">
        <v>351</v>
      </c>
      <c r="K1401" s="434"/>
      <c r="L1401" s="433"/>
      <c r="M1401" s="426"/>
      <c r="N1401" s="426"/>
      <c r="O1401" s="426"/>
      <c r="P1401"/>
      <c r="Q1401" s="35"/>
    </row>
    <row r="1402" spans="2:17" ht="11.25" customHeight="1">
      <c r="C1402" s="162"/>
      <c r="E1402" s="433" t="s">
        <v>188</v>
      </c>
      <c r="G1402" s="222" t="s">
        <v>177</v>
      </c>
      <c r="K1402" s="434"/>
      <c r="L1402" s="433"/>
      <c r="M1402" s="426"/>
      <c r="N1402" s="426"/>
      <c r="O1402" s="426"/>
      <c r="P1402"/>
      <c r="Q1402" s="35"/>
    </row>
    <row r="1403" spans="2:17">
      <c r="C1403" s="162"/>
      <c r="D1403" s="427"/>
      <c r="G1403" s="434"/>
      <c r="K1403" s="434"/>
      <c r="L1403" s="435"/>
      <c r="M1403" s="426"/>
      <c r="N1403" s="426"/>
      <c r="O1403" s="426"/>
      <c r="P1403"/>
      <c r="Q1403" s="35"/>
    </row>
    <row r="1404" spans="2:17">
      <c r="C1404"/>
      <c r="D1404"/>
      <c r="E1404"/>
      <c r="F1404"/>
      <c r="G1404"/>
      <c r="H1404"/>
      <c r="I1404"/>
      <c r="J1404"/>
      <c r="K1404"/>
      <c r="L1404"/>
      <c r="M1404" s="31"/>
      <c r="N1404" s="31"/>
      <c r="O1404" s="31"/>
      <c r="P1404" s="35"/>
      <c r="Q1404" s="35"/>
    </row>
    <row r="1405" spans="2:17">
      <c r="C1405" s="37" t="s">
        <v>588</v>
      </c>
      <c r="D1405" s="1178"/>
      <c r="E1405" s="1178" t="str">
        <f>"Mähdrusch durch eigenen Mähdrescher (Kalkulation gemäß Übersicht "&amp;FIXED(B1238,0)&amp;") oder durch Dienstleister?"</f>
        <v>Mähdrusch durch eigenen Mähdrescher (Kalkulation gemäß Übersicht 14) oder durch Dienstleister?</v>
      </c>
      <c r="F1405" s="1178"/>
      <c r="G1405" s="1178"/>
      <c r="H1405" s="1178"/>
      <c r="I1405" s="1178"/>
      <c r="J1405" s="1178"/>
      <c r="K1405" s="1178"/>
      <c r="L1405" s="1178"/>
      <c r="M1405" s="31"/>
      <c r="N1405" s="31"/>
      <c r="O1405" s="31"/>
      <c r="P1405" s="35"/>
      <c r="Q1405" s="35"/>
    </row>
    <row r="1406" spans="2:17" ht="18.600000000000001">
      <c r="B1406" s="182"/>
      <c r="C1406" s="37"/>
      <c r="D1406" s="1178"/>
      <c r="E1406" s="1178" t="s">
        <v>1341</v>
      </c>
      <c r="F1406" s="1178"/>
      <c r="G1406" s="1178"/>
      <c r="H1406" s="1178"/>
      <c r="I1406" s="1178"/>
      <c r="J1406" s="1178"/>
      <c r="K1406" s="1178"/>
      <c r="L1406" s="1178"/>
      <c r="M1406" s="31"/>
      <c r="N1406" s="31"/>
      <c r="O1406" s="31"/>
      <c r="P1406" s="35"/>
      <c r="Q1406" s="35"/>
    </row>
    <row r="1407" spans="2:17">
      <c r="C1407" s="37"/>
      <c r="D1407" s="1178"/>
      <c r="E1407" s="1189" t="s">
        <v>773</v>
      </c>
      <c r="F1407" s="1178" t="s">
        <v>1343</v>
      </c>
      <c r="G1407" s="1178"/>
      <c r="H1407" s="1178"/>
      <c r="I1407" s="1178"/>
      <c r="J1407" s="1178"/>
      <c r="L1407" s="1178"/>
      <c r="M1407" s="31"/>
      <c r="N1407" s="31"/>
      <c r="O1407" s="31"/>
      <c r="P1407" s="35"/>
      <c r="Q1407" s="35"/>
    </row>
    <row r="1408" spans="2:17" ht="18.600000000000001">
      <c r="B1408" s="182"/>
      <c r="C1408" s="37"/>
      <c r="D1408" s="1178"/>
      <c r="E1408" s="1178" t="s">
        <v>1342</v>
      </c>
      <c r="F1408" s="1178"/>
      <c r="G1408" s="1178"/>
      <c r="H1408" s="1178"/>
      <c r="I1408" s="1178"/>
      <c r="J1408" s="1178"/>
      <c r="K1408" s="1178"/>
      <c r="L1408" s="1178"/>
      <c r="M1408" s="31"/>
      <c r="N1408" s="31"/>
      <c r="O1408" s="31"/>
      <c r="P1408" s="35"/>
      <c r="Q1408" s="35"/>
    </row>
    <row r="1409" spans="3:17">
      <c r="C1409" s="37"/>
      <c r="D1409" s="1178"/>
      <c r="E1409" s="1189" t="s">
        <v>773</v>
      </c>
      <c r="F1409" s="1178" t="s">
        <v>1344</v>
      </c>
      <c r="G1409" s="1178"/>
      <c r="H1409" s="1178"/>
      <c r="I1409" s="1178"/>
      <c r="J1409" s="1178"/>
      <c r="K1409" s="1178"/>
      <c r="L1409" s="1178"/>
      <c r="M1409" s="31"/>
      <c r="N1409" s="31"/>
      <c r="O1409" s="31"/>
      <c r="P1409" s="35"/>
      <c r="Q1409" s="35"/>
    </row>
    <row r="1410" spans="3:17">
      <c r="C1410" s="37"/>
      <c r="D1410" s="31"/>
      <c r="E1410" s="1178"/>
      <c r="F1410" s="138"/>
      <c r="G1410" s="110"/>
      <c r="H1410" s="35"/>
      <c r="I1410" s="35"/>
      <c r="J1410" s="35"/>
      <c r="K1410" s="35"/>
      <c r="M1410" s="35"/>
      <c r="N1410" s="35"/>
      <c r="O1410" s="35"/>
      <c r="P1410" s="35"/>
      <c r="Q1410" s="35"/>
    </row>
    <row r="1411" spans="3:17" ht="12" customHeight="1">
      <c r="C1411" s="37"/>
      <c r="D1411" s="35"/>
      <c r="E1411" s="35"/>
      <c r="F1411" s="35"/>
      <c r="G1411" s="35"/>
      <c r="H1411" s="35"/>
      <c r="I1411"/>
      <c r="J1411"/>
      <c r="L1411" s="1188">
        <f>O1264</f>
        <v>20800</v>
      </c>
      <c r="M1411" s="1177" t="str">
        <f>Q1264</f>
        <v>€/Jahr</v>
      </c>
      <c r="O1411"/>
      <c r="P1411"/>
      <c r="Q1411"/>
    </row>
    <row r="1412" spans="3:17" ht="12" customHeight="1">
      <c r="C1412" s="37"/>
      <c r="D1412" s="98" t="s">
        <v>1334</v>
      </c>
      <c r="H1412" s="138"/>
      <c r="I1412" t="s">
        <v>1106</v>
      </c>
      <c r="J1412"/>
      <c r="K1412"/>
      <c r="L1412"/>
      <c r="M1412"/>
      <c r="N1412"/>
      <c r="O1412"/>
      <c r="P1412"/>
      <c r="Q1412"/>
    </row>
    <row r="1413" spans="3:17" ht="12" customHeight="1">
      <c r="C1413" s="37"/>
      <c r="I1413">
        <v>125</v>
      </c>
      <c r="J1413" t="s">
        <v>1345</v>
      </c>
      <c r="L1413"/>
      <c r="M1413"/>
      <c r="N1413" s="1177">
        <f>P1302</f>
        <v>38.9</v>
      </c>
      <c r="O1413" s="1178" t="s">
        <v>1336</v>
      </c>
      <c r="P1413"/>
      <c r="Q1413"/>
    </row>
    <row r="1414" spans="3:17" ht="12" customHeight="1">
      <c r="C1414" s="37"/>
      <c r="F1414" s="48"/>
      <c r="G1414" s="48"/>
      <c r="H1414" s="48"/>
      <c r="I1414"/>
      <c r="J1414" t="s">
        <v>1346</v>
      </c>
      <c r="L1414"/>
      <c r="M1414" s="1178" t="s">
        <v>264</v>
      </c>
      <c r="N1414" s="1177">
        <f>P1304</f>
        <v>9.7999999999999989</v>
      </c>
      <c r="O1414" s="1178" t="s">
        <v>1337</v>
      </c>
      <c r="P1414"/>
      <c r="Q1414"/>
    </row>
    <row r="1415" spans="3:17" ht="12" customHeight="1">
      <c r="C1415" s="1178"/>
      <c r="D1415" s="1178"/>
      <c r="E1415" s="1178"/>
      <c r="F1415" s="1178"/>
      <c r="G1415" s="1178"/>
      <c r="H1415" s="1178"/>
      <c r="I1415" s="33">
        <f>15%*80*1.6</f>
        <v>19.200000000000003</v>
      </c>
      <c r="J1415" s="1178" t="s">
        <v>1347</v>
      </c>
      <c r="L1415" s="1178"/>
      <c r="M1415" s="31"/>
      <c r="N1415" s="522">
        <f>1%*80*15</f>
        <v>12</v>
      </c>
      <c r="O1415" s="1178" t="s">
        <v>1348</v>
      </c>
      <c r="P1415" s="35"/>
      <c r="Q1415" s="35"/>
    </row>
    <row r="1416" spans="3:17">
      <c r="C1416" s="1178"/>
      <c r="D1416" s="1178"/>
      <c r="E1416" s="1178"/>
      <c r="F1416" s="1178"/>
      <c r="G1416" s="1178"/>
      <c r="H1416" s="1178"/>
      <c r="I1416" s="1178"/>
      <c r="K1416" s="1178"/>
      <c r="L1416" s="192" t="s">
        <v>1349</v>
      </c>
      <c r="M1416" s="31"/>
      <c r="N1416" s="31"/>
      <c r="O1416" s="31"/>
      <c r="P1416" s="35"/>
      <c r="Q1416" s="35"/>
    </row>
    <row r="1417" spans="3:17">
      <c r="C1417" s="1178"/>
      <c r="D1417" s="1178"/>
      <c r="E1417" s="1178"/>
      <c r="F1417" s="1178"/>
      <c r="G1417" s="1178"/>
      <c r="H1417" s="1178"/>
      <c r="I1417" s="1178"/>
      <c r="K1417" s="1178"/>
      <c r="L1417" s="1178"/>
      <c r="M1417" s="31"/>
      <c r="N1417" s="31"/>
      <c r="O1417" s="31"/>
      <c r="P1417" s="35"/>
      <c r="Q1417" s="35"/>
    </row>
    <row r="1418" spans="3:17">
      <c r="C1418" s="1178"/>
      <c r="D1418" s="98" t="s">
        <v>1334</v>
      </c>
      <c r="E1418" s="1178"/>
      <c r="F1418" s="1178"/>
      <c r="G1418" s="1178"/>
      <c r="H1418" s="1178"/>
      <c r="I1418" s="1178">
        <f>$L$1411/(($I$1413)-($N$1413+$N$1414))</f>
        <v>272.60812581913495</v>
      </c>
      <c r="J1418" s="1178" t="s">
        <v>1339</v>
      </c>
      <c r="K1418" s="1178"/>
      <c r="L1418" s="1178" t="s">
        <v>1338</v>
      </c>
      <c r="N1418" s="31"/>
      <c r="O1418" s="31"/>
      <c r="P1418" s="35"/>
      <c r="Q1418" s="35"/>
    </row>
    <row r="1419" spans="3:17">
      <c r="C1419" s="1178"/>
      <c r="D1419" s="98" t="s">
        <v>1334</v>
      </c>
      <c r="E1419" s="1178"/>
      <c r="F1419" s="1178"/>
      <c r="G1419" s="1178"/>
      <c r="H1419" s="1178"/>
      <c r="I1419" s="1178">
        <f>$L$1411/(($I$1413+$I$1415)-($N$1413+$N$1414))</f>
        <v>217.80104712041884</v>
      </c>
      <c r="J1419" s="1178" t="s">
        <v>1339</v>
      </c>
      <c r="K1419" s="1178"/>
      <c r="L1419" s="1178" t="s">
        <v>1350</v>
      </c>
      <c r="N1419" s="31"/>
      <c r="O1419" s="31"/>
      <c r="P1419" s="35"/>
      <c r="Q1419" s="35"/>
    </row>
    <row r="1420" spans="3:17">
      <c r="C1420" s="1178"/>
      <c r="D1420" s="98" t="s">
        <v>1334</v>
      </c>
      <c r="E1420" s="1178"/>
      <c r="F1420" s="1178"/>
      <c r="G1420" s="1178"/>
      <c r="H1420" s="1178"/>
      <c r="I1420" s="1178">
        <f>$L$1411/(($I$1413)-($N$1413+$N$1414+$N$1415))</f>
        <v>323.48367029548984</v>
      </c>
      <c r="J1420" s="1178" t="s">
        <v>1339</v>
      </c>
      <c r="K1420" s="1178"/>
      <c r="L1420" s="1178" t="s">
        <v>1351</v>
      </c>
      <c r="N1420" s="31"/>
      <c r="O1420" s="31"/>
      <c r="P1420" s="35"/>
      <c r="Q1420" s="35"/>
    </row>
    <row r="1421" spans="3:17">
      <c r="C1421" s="1178"/>
      <c r="D1421" s="98" t="s">
        <v>1334</v>
      </c>
      <c r="E1421" s="1178"/>
      <c r="F1421" s="1178"/>
      <c r="G1421" s="1178"/>
      <c r="H1421" s="1178"/>
      <c r="I1421" s="1178">
        <f>$L$1411/(($I$1413+$I$1415)-($N$1413+$N$1414+$N$1415))</f>
        <v>249.10179640718562</v>
      </c>
      <c r="J1421" s="1178" t="s">
        <v>1339</v>
      </c>
      <c r="K1421" s="1178"/>
      <c r="L1421" s="1178" t="s">
        <v>1340</v>
      </c>
      <c r="N1421" s="31"/>
      <c r="O1421" s="31"/>
      <c r="P1421" s="35"/>
      <c r="Q1421" s="35"/>
    </row>
    <row r="1422" spans="3:17">
      <c r="C1422" s="1178"/>
      <c r="D1422" s="1178"/>
      <c r="E1422" s="1178"/>
      <c r="F1422" s="1178"/>
      <c r="G1422" s="1178"/>
      <c r="H1422" s="1178"/>
      <c r="I1422" s="1178"/>
      <c r="J1422" s="1178"/>
      <c r="K1422" s="1178"/>
      <c r="L1422" s="1178"/>
      <c r="M1422" s="31"/>
      <c r="N1422" s="31"/>
      <c r="O1422" s="31"/>
      <c r="P1422" s="35"/>
      <c r="Q1422" s="35"/>
    </row>
    <row r="1423" spans="3:17">
      <c r="C1423" s="1178"/>
      <c r="D1423" s="1178" t="s">
        <v>1352</v>
      </c>
      <c r="E1423" s="1178"/>
      <c r="F1423" s="1178"/>
      <c r="G1423" s="1178"/>
      <c r="H1423" s="1178"/>
      <c r="I1423" s="1178"/>
      <c r="J1423" s="1178"/>
      <c r="K1423" s="1178"/>
      <c r="L1423" s="1178"/>
      <c r="M1423" s="31"/>
      <c r="N1423" s="31"/>
      <c r="O1423" s="31"/>
      <c r="P1423" s="35"/>
      <c r="Q1423" s="35"/>
    </row>
    <row r="1424" spans="3:17">
      <c r="C1424" s="1178"/>
      <c r="D1424" s="1178" t="s">
        <v>1353</v>
      </c>
      <c r="E1424" s="1178"/>
      <c r="F1424" s="1178"/>
      <c r="G1424" s="1178"/>
      <c r="H1424" s="1178"/>
      <c r="I1424" s="1178"/>
      <c r="J1424" s="1178"/>
      <c r="K1424" s="1178"/>
      <c r="L1424" s="1178"/>
      <c r="M1424" s="31"/>
      <c r="N1424" s="31"/>
      <c r="O1424" s="31"/>
      <c r="P1424" s="35"/>
      <c r="Q1424" s="35"/>
    </row>
    <row r="1425" spans="2:17">
      <c r="C1425" s="1178"/>
      <c r="D1425" s="1178"/>
      <c r="E1425" s="1178"/>
      <c r="F1425" s="1178"/>
      <c r="G1425" s="1178"/>
      <c r="H1425" s="1178"/>
      <c r="I1425" s="1178"/>
      <c r="J1425" s="1178"/>
      <c r="K1425" s="1178"/>
      <c r="L1425" s="1178"/>
      <c r="M1425" s="31"/>
      <c r="N1425" s="31"/>
      <c r="O1425" s="31"/>
      <c r="P1425" s="35"/>
      <c r="Q1425" s="35"/>
    </row>
    <row r="1426" spans="2:17">
      <c r="C1426" s="1178"/>
      <c r="D1426" s="1178"/>
      <c r="E1426" s="1178"/>
      <c r="F1426" s="1178"/>
      <c r="G1426" s="1178"/>
      <c r="H1426" s="1178"/>
      <c r="I1426" s="1178"/>
      <c r="J1426" s="1178"/>
      <c r="K1426" s="1178"/>
      <c r="L1426" s="1178"/>
      <c r="M1426" s="31"/>
      <c r="N1426" s="31"/>
      <c r="O1426" s="31"/>
      <c r="P1426" s="35"/>
      <c r="Q1426" s="35"/>
    </row>
    <row r="1427" spans="2:17">
      <c r="C1427" s="37"/>
    </row>
    <row r="1429" spans="2:17" ht="22.8">
      <c r="C1429" s="164" t="s">
        <v>1117</v>
      </c>
      <c r="D1429" s="94"/>
      <c r="F1429" s="637" t="s">
        <v>373</v>
      </c>
    </row>
    <row r="1430" spans="2:17">
      <c r="C1430" s="98" t="s">
        <v>1371</v>
      </c>
    </row>
    <row r="1431" spans="2:17">
      <c r="C1431" s="98" t="s">
        <v>1372</v>
      </c>
    </row>
    <row r="1432" spans="2:17">
      <c r="C1432" s="33" t="s">
        <v>1373</v>
      </c>
    </row>
    <row r="1433" spans="2:17">
      <c r="C1433" s="33" t="s">
        <v>1374</v>
      </c>
    </row>
    <row r="1434" spans="2:17" ht="18.600000000000001">
      <c r="B1434" s="182"/>
      <c r="C1434" s="33" t="s">
        <v>369</v>
      </c>
    </row>
    <row r="1435" spans="2:17">
      <c r="C1435" s="33" t="s">
        <v>370</v>
      </c>
    </row>
    <row r="1436" spans="2:17" ht="18.600000000000001">
      <c r="B1436" s="182"/>
      <c r="C1436" s="33" t="s">
        <v>1367</v>
      </c>
    </row>
    <row r="1437" spans="2:17">
      <c r="C1437" s="98" t="s">
        <v>1368</v>
      </c>
    </row>
    <row r="1438" spans="2:17">
      <c r="C1438" s="98" t="s">
        <v>1369</v>
      </c>
    </row>
    <row r="1439" spans="2:17">
      <c r="C1439" s="33" t="s">
        <v>1370</v>
      </c>
    </row>
    <row r="1441" spans="2:17" ht="20.399999999999999">
      <c r="C1441" s="535" t="s">
        <v>375</v>
      </c>
      <c r="D1441" s="69"/>
      <c r="E1441"/>
      <c r="F1441" s="536" t="s">
        <v>1049</v>
      </c>
    </row>
    <row r="1442" spans="2:17">
      <c r="C1442" s="33" t="s">
        <v>1375</v>
      </c>
    </row>
    <row r="1443" spans="2:17">
      <c r="C1443" s="33" t="s">
        <v>1376</v>
      </c>
    </row>
    <row r="1444" spans="2:17">
      <c r="C1444" s="33" t="s">
        <v>1377</v>
      </c>
    </row>
    <row r="1445" spans="2:17">
      <c r="C1445" s="37" t="s">
        <v>1378</v>
      </c>
    </row>
    <row r="1446" spans="2:17">
      <c r="C1446" s="36" t="s">
        <v>1379</v>
      </c>
    </row>
    <row r="1447" spans="2:17">
      <c r="C1447" s="36" t="s">
        <v>1380</v>
      </c>
      <c r="P1447" s="576"/>
      <c r="Q1447" s="638"/>
    </row>
    <row r="1448" spans="2:17" ht="18.600000000000001">
      <c r="B1448" s="182"/>
      <c r="C1448" s="98" t="s">
        <v>1385</v>
      </c>
    </row>
    <row r="1449" spans="2:17">
      <c r="C1449" s="33" t="s">
        <v>1381</v>
      </c>
    </row>
    <row r="1450" spans="2:17">
      <c r="C1450" s="37" t="s">
        <v>1382</v>
      </c>
    </row>
    <row r="1451" spans="2:17">
      <c r="C1451" s="33" t="s">
        <v>1383</v>
      </c>
    </row>
    <row r="1452" spans="2:17">
      <c r="C1452" s="37" t="s">
        <v>1384</v>
      </c>
    </row>
    <row r="1453" spans="2:17" ht="18.600000000000001">
      <c r="B1453" s="182"/>
      <c r="C1453" s="391" t="s">
        <v>290</v>
      </c>
    </row>
    <row r="1454" spans="2:17">
      <c r="C1454" s="33" t="s">
        <v>371</v>
      </c>
    </row>
    <row r="1455" spans="2:17">
      <c r="C1455" s="33" t="s">
        <v>372</v>
      </c>
    </row>
    <row r="1456" spans="2:17" ht="18.600000000000001">
      <c r="B1456" s="182"/>
      <c r="C1456" s="1233" t="s">
        <v>1389</v>
      </c>
    </row>
    <row r="1457" spans="2:19">
      <c r="C1457" s="33" t="s">
        <v>1386</v>
      </c>
    </row>
    <row r="1458" spans="2:19">
      <c r="C1458" s="98" t="s">
        <v>1390</v>
      </c>
    </row>
    <row r="1459" spans="2:19">
      <c r="C1459" s="33" t="s">
        <v>1387</v>
      </c>
    </row>
    <row r="1460" spans="2:19">
      <c r="C1460" s="33" t="s">
        <v>1388</v>
      </c>
    </row>
    <row r="1461" spans="2:19" ht="18.600000000000001">
      <c r="B1461" s="182"/>
      <c r="C1461" s="33" t="s">
        <v>286</v>
      </c>
    </row>
    <row r="1462" spans="2:19">
      <c r="C1462" s="33" t="s">
        <v>602</v>
      </c>
    </row>
    <row r="1463" spans="2:19">
      <c r="C1463" s="33" t="s">
        <v>603</v>
      </c>
    </row>
    <row r="1464" spans="2:19" ht="18.600000000000001">
      <c r="B1464" s="182"/>
      <c r="C1464" s="33" t="s">
        <v>289</v>
      </c>
    </row>
    <row r="1465" spans="2:19">
      <c r="C1465" s="33" t="s">
        <v>287</v>
      </c>
    </row>
    <row r="1466" spans="2:19">
      <c r="C1466" s="33" t="s">
        <v>288</v>
      </c>
    </row>
    <row r="1467" spans="2:19">
      <c r="C1467" s="98" t="s">
        <v>1406</v>
      </c>
    </row>
    <row r="1468" spans="2:19" ht="18.600000000000001">
      <c r="B1468" s="182"/>
      <c r="D1468" s="98" t="s">
        <v>1391</v>
      </c>
      <c r="G1468" s="33" t="s">
        <v>1394</v>
      </c>
    </row>
    <row r="1469" spans="2:19">
      <c r="D1469" s="192" t="s">
        <v>1403</v>
      </c>
      <c r="G1469" s="33" t="s">
        <v>1395</v>
      </c>
      <c r="S1469" s="431"/>
    </row>
    <row r="1470" spans="2:19">
      <c r="G1470" s="98" t="s">
        <v>1407</v>
      </c>
      <c r="S1470" s="431"/>
    </row>
    <row r="1471" spans="2:19">
      <c r="K1471" s="431"/>
    </row>
    <row r="1472" spans="2:19">
      <c r="D1472" s="1234" t="s">
        <v>1392</v>
      </c>
      <c r="G1472" s="33" t="s">
        <v>1396</v>
      </c>
      <c r="K1472" s="431"/>
    </row>
    <row r="1473" spans="2:11">
      <c r="D1473" s="192" t="s">
        <v>1404</v>
      </c>
      <c r="G1473" s="33" t="s">
        <v>1397</v>
      </c>
      <c r="K1473" s="431"/>
    </row>
    <row r="1474" spans="2:11">
      <c r="G1474" s="33" t="s">
        <v>1398</v>
      </c>
      <c r="K1474" s="431"/>
    </row>
    <row r="1475" spans="2:11">
      <c r="K1475" s="431"/>
    </row>
    <row r="1476" spans="2:11">
      <c r="D1476" s="1234" t="s">
        <v>1393</v>
      </c>
      <c r="G1476" s="33" t="s">
        <v>1399</v>
      </c>
      <c r="K1476" s="431"/>
    </row>
    <row r="1477" spans="2:11">
      <c r="D1477" s="192" t="s">
        <v>1405</v>
      </c>
      <c r="G1477" s="33" t="s">
        <v>1400</v>
      </c>
      <c r="K1477" s="431"/>
    </row>
    <row r="1478" spans="2:11">
      <c r="G1478" s="33" t="s">
        <v>1401</v>
      </c>
      <c r="K1478" s="431"/>
    </row>
    <row r="1479" spans="2:11">
      <c r="G1479" s="33" t="s">
        <v>1402</v>
      </c>
      <c r="K1479" s="431"/>
    </row>
    <row r="1480" spans="2:11">
      <c r="K1480" s="431"/>
    </row>
    <row r="1481" spans="2:11">
      <c r="C1481" s="33" t="s">
        <v>1006</v>
      </c>
    </row>
    <row r="1482" spans="2:11">
      <c r="C1482" s="29" t="s">
        <v>604</v>
      </c>
    </row>
    <row r="1483" spans="2:11" ht="18.600000000000001">
      <c r="B1483" s="182"/>
      <c r="C1483" s="33" t="s">
        <v>291</v>
      </c>
    </row>
    <row r="1484" spans="2:11">
      <c r="C1484" s="33" t="s">
        <v>605</v>
      </c>
    </row>
    <row r="1485" spans="2:11">
      <c r="C1485" s="33" t="s">
        <v>608</v>
      </c>
    </row>
    <row r="1486" spans="2:11">
      <c r="C1486" s="33" t="s">
        <v>606</v>
      </c>
    </row>
    <row r="1487" spans="2:11">
      <c r="C1487" s="33" t="s">
        <v>607</v>
      </c>
      <c r="H1487" s="48">
        <f>B546</f>
        <v>9</v>
      </c>
      <c r="I1487" s="33" t="s">
        <v>292</v>
      </c>
    </row>
    <row r="1488" spans="2:11">
      <c r="H1488" s="48"/>
    </row>
    <row r="1489" spans="2:10">
      <c r="C1489" s="33" t="s">
        <v>17</v>
      </c>
    </row>
    <row r="1490" spans="2:10">
      <c r="C1490" s="33" t="s">
        <v>18</v>
      </c>
    </row>
    <row r="1491" spans="2:10">
      <c r="C1491" s="37" t="s">
        <v>19</v>
      </c>
    </row>
    <row r="1492" spans="2:10">
      <c r="C1492" s="36" t="s">
        <v>20</v>
      </c>
    </row>
    <row r="1493" spans="2:10" ht="18.600000000000001">
      <c r="B1493" s="182"/>
      <c r="C1493" s="33" t="s">
        <v>609</v>
      </c>
    </row>
    <row r="1494" spans="2:10" ht="18.600000000000001">
      <c r="B1494" s="182"/>
      <c r="D1494" s="33" t="s">
        <v>931</v>
      </c>
      <c r="I1494" s="146">
        <v>0.01</v>
      </c>
      <c r="J1494" s="33" t="s">
        <v>15</v>
      </c>
    </row>
    <row r="1495" spans="2:10">
      <c r="D1495" s="33" t="s">
        <v>12</v>
      </c>
      <c r="I1495" s="146">
        <v>0.02</v>
      </c>
      <c r="J1495" s="33" t="s">
        <v>15</v>
      </c>
    </row>
    <row r="1496" spans="2:10">
      <c r="D1496" s="33" t="s">
        <v>13</v>
      </c>
      <c r="I1496" s="146">
        <v>0.03</v>
      </c>
      <c r="J1496" s="33" t="s">
        <v>15</v>
      </c>
    </row>
    <row r="1498" spans="2:10">
      <c r="C1498" s="33" t="s">
        <v>22</v>
      </c>
    </row>
    <row r="1499" spans="2:10">
      <c r="C1499" s="33" t="s">
        <v>21</v>
      </c>
    </row>
    <row r="1501" spans="2:10">
      <c r="C1501" s="33" t="s">
        <v>366</v>
      </c>
    </row>
    <row r="1502" spans="2:10">
      <c r="C1502" s="33" t="s">
        <v>367</v>
      </c>
    </row>
    <row r="1505" spans="2:256">
      <c r="C1505" s="391" t="s">
        <v>1243</v>
      </c>
    </row>
    <row r="1506" spans="2:256" ht="18.600000000000001">
      <c r="B1506" s="182"/>
      <c r="E1506" s="33" t="s">
        <v>812</v>
      </c>
      <c r="I1506" s="33" t="s">
        <v>449</v>
      </c>
    </row>
    <row r="1507" spans="2:256">
      <c r="E1507" s="33" t="s">
        <v>568</v>
      </c>
      <c r="I1507" s="33" t="s">
        <v>284</v>
      </c>
    </row>
    <row r="1508" spans="2:256">
      <c r="E1508" s="33" t="s">
        <v>448</v>
      </c>
      <c r="I1508" s="33" t="s">
        <v>14</v>
      </c>
    </row>
    <row r="1509" spans="2:256">
      <c r="E1509" s="33" t="s">
        <v>312</v>
      </c>
      <c r="I1509" s="33" t="s">
        <v>16</v>
      </c>
    </row>
    <row r="1513" spans="2:256" ht="20.399999999999999">
      <c r="C1513" s="535" t="s">
        <v>144</v>
      </c>
      <c r="D1513" s="69"/>
      <c r="E1513"/>
      <c r="F1513" s="536" t="s">
        <v>892</v>
      </c>
      <c r="H1513" s="25"/>
      <c r="J1513" s="535"/>
      <c r="K1513" s="69"/>
      <c r="L1513"/>
      <c r="M1513" s="536"/>
      <c r="O1513" s="25"/>
      <c r="Q1513" s="535"/>
      <c r="R1513" s="69"/>
      <c r="S1513"/>
      <c r="T1513" s="536"/>
      <c r="V1513" s="25"/>
      <c r="X1513" s="535"/>
      <c r="Y1513" s="69"/>
      <c r="Z1513"/>
      <c r="AA1513" s="536"/>
      <c r="AC1513" s="25"/>
      <c r="AE1513" s="535"/>
      <c r="AF1513" s="69"/>
      <c r="AG1513"/>
      <c r="AH1513" s="536"/>
      <c r="AJ1513" s="25"/>
      <c r="AL1513" s="535"/>
      <c r="AM1513" s="69"/>
      <c r="AN1513"/>
      <c r="AO1513" s="536"/>
      <c r="AQ1513" s="25"/>
      <c r="AS1513" s="535"/>
      <c r="AT1513" s="69"/>
      <c r="AU1513"/>
      <c r="AV1513" s="536"/>
      <c r="AX1513" s="25"/>
      <c r="AZ1513" s="535"/>
      <c r="BA1513" s="69"/>
      <c r="BB1513"/>
      <c r="BC1513" s="536"/>
      <c r="BE1513" s="25"/>
      <c r="BG1513" s="535"/>
      <c r="BH1513" s="69"/>
      <c r="BI1513"/>
      <c r="BJ1513" s="536"/>
      <c r="BL1513" s="25"/>
      <c r="BN1513" s="535"/>
      <c r="BO1513" s="69"/>
      <c r="BP1513"/>
      <c r="BQ1513" s="536"/>
      <c r="BS1513" s="25"/>
      <c r="BU1513" s="535"/>
      <c r="BV1513" s="69"/>
      <c r="BW1513"/>
      <c r="BX1513" s="536"/>
      <c r="BZ1513" s="25"/>
      <c r="CB1513" s="535"/>
      <c r="CC1513" s="69"/>
      <c r="CD1513"/>
      <c r="CE1513" s="536"/>
      <c r="CG1513" s="25"/>
      <c r="CI1513" s="535"/>
      <c r="CJ1513" s="69"/>
      <c r="CK1513"/>
      <c r="CL1513" s="536"/>
      <c r="CN1513" s="25"/>
      <c r="CP1513" s="535"/>
      <c r="CQ1513" s="69"/>
      <c r="CR1513"/>
      <c r="CS1513" s="536"/>
      <c r="CU1513" s="25"/>
      <c r="CW1513" s="535"/>
      <c r="CX1513" s="69"/>
      <c r="CY1513"/>
      <c r="CZ1513" s="536"/>
      <c r="DB1513" s="25"/>
      <c r="DD1513" s="535"/>
      <c r="DE1513" s="69"/>
      <c r="DF1513"/>
      <c r="DG1513" s="536"/>
      <c r="DI1513" s="25"/>
      <c r="DK1513" s="535"/>
      <c r="DL1513" s="69"/>
      <c r="DM1513"/>
      <c r="DN1513" s="536"/>
      <c r="DP1513" s="25"/>
      <c r="DR1513" s="535"/>
      <c r="DS1513" s="69"/>
      <c r="DT1513"/>
      <c r="DU1513" s="536"/>
      <c r="DW1513" s="25"/>
      <c r="DY1513" s="535"/>
      <c r="DZ1513" s="69"/>
      <c r="EA1513"/>
      <c r="EB1513" s="536"/>
      <c r="ED1513" s="25"/>
      <c r="EF1513" s="535"/>
      <c r="EG1513" s="69"/>
      <c r="EH1513"/>
      <c r="EI1513" s="536"/>
      <c r="EK1513" s="25"/>
      <c r="EM1513" s="535"/>
      <c r="EN1513" s="69"/>
      <c r="EO1513"/>
      <c r="EP1513" s="536"/>
      <c r="ER1513" s="25"/>
      <c r="ET1513" s="535"/>
      <c r="EU1513" s="69"/>
      <c r="EV1513"/>
      <c r="EW1513" s="536"/>
      <c r="EY1513" s="25"/>
      <c r="FA1513" s="535"/>
      <c r="FB1513" s="69"/>
      <c r="FC1513"/>
      <c r="FD1513" s="536"/>
      <c r="FF1513" s="25"/>
      <c r="FH1513" s="535"/>
      <c r="FI1513" s="69"/>
      <c r="FJ1513"/>
      <c r="FK1513" s="536"/>
      <c r="FM1513" s="25"/>
      <c r="FO1513" s="535"/>
      <c r="FP1513" s="69"/>
      <c r="FQ1513"/>
      <c r="FR1513" s="536"/>
      <c r="FT1513" s="25"/>
      <c r="FV1513" s="535"/>
      <c r="FW1513" s="69"/>
      <c r="FX1513"/>
      <c r="FY1513" s="536"/>
      <c r="GA1513" s="25"/>
      <c r="GC1513" s="535"/>
      <c r="GD1513" s="69"/>
      <c r="GE1513"/>
      <c r="GF1513" s="536"/>
      <c r="GH1513" s="25"/>
      <c r="GJ1513" s="535"/>
      <c r="GK1513" s="69"/>
      <c r="GL1513"/>
      <c r="GM1513" s="536"/>
      <c r="GO1513" s="25"/>
      <c r="GQ1513" s="535"/>
      <c r="GR1513" s="69"/>
      <c r="GS1513"/>
      <c r="GT1513" s="536"/>
      <c r="GV1513" s="25"/>
      <c r="GX1513" s="535"/>
      <c r="GY1513" s="69"/>
      <c r="GZ1513"/>
      <c r="HA1513" s="536"/>
      <c r="HC1513" s="25"/>
      <c r="HE1513" s="535"/>
      <c r="HF1513" s="69"/>
      <c r="HG1513"/>
      <c r="HH1513" s="536"/>
      <c r="HJ1513" s="25"/>
      <c r="HL1513" s="535"/>
      <c r="HM1513" s="69"/>
      <c r="HN1513"/>
      <c r="HO1513" s="536"/>
      <c r="HQ1513" s="25"/>
      <c r="HS1513" s="535"/>
      <c r="HT1513" s="69"/>
      <c r="HU1513"/>
      <c r="HV1513" s="536"/>
      <c r="HX1513" s="25"/>
      <c r="HZ1513" s="535"/>
      <c r="IA1513" s="69"/>
      <c r="IB1513"/>
      <c r="IC1513" s="536"/>
      <c r="IE1513" s="25"/>
      <c r="IG1513" s="535"/>
      <c r="IH1513" s="69"/>
      <c r="II1513"/>
      <c r="IJ1513" s="536"/>
      <c r="IL1513" s="25"/>
      <c r="IN1513" s="535"/>
      <c r="IO1513" s="69"/>
      <c r="IP1513"/>
      <c r="IQ1513" s="536"/>
      <c r="IS1513" s="25"/>
      <c r="IU1513" s="535"/>
      <c r="IV1513" s="69"/>
    </row>
    <row r="1514" spans="2:256">
      <c r="C1514" s="33" t="s">
        <v>887</v>
      </c>
    </row>
    <row r="1515" spans="2:256">
      <c r="C1515" s="33" t="s">
        <v>888</v>
      </c>
    </row>
    <row r="1516" spans="2:256">
      <c r="C1516" s="33" t="s">
        <v>889</v>
      </c>
    </row>
    <row r="1517" spans="2:256">
      <c r="C1517" s="33" t="s">
        <v>890</v>
      </c>
    </row>
    <row r="1518" spans="2:256">
      <c r="C1518" s="33" t="s">
        <v>891</v>
      </c>
    </row>
    <row r="1520" spans="2:256">
      <c r="D1520" s="173" t="s">
        <v>1062</v>
      </c>
      <c r="E1520" s="176"/>
      <c r="F1520" s="176"/>
      <c r="G1520" s="176"/>
      <c r="H1520" s="571" t="s">
        <v>1061</v>
      </c>
      <c r="I1520" s="555" t="s">
        <v>1055</v>
      </c>
      <c r="J1520" s="176"/>
      <c r="K1520" s="176"/>
      <c r="L1520" s="176"/>
      <c r="M1520" s="176"/>
      <c r="N1520" s="176"/>
      <c r="O1520" s="176"/>
      <c r="P1520" s="176"/>
      <c r="Q1520" s="61"/>
    </row>
    <row r="1521" spans="4:17">
      <c r="D1521" s="559" t="s">
        <v>1064</v>
      </c>
      <c r="E1521" s="560"/>
      <c r="F1521" s="560"/>
      <c r="G1521" s="560"/>
      <c r="H1521" s="572" t="s">
        <v>1063</v>
      </c>
      <c r="I1521" s="561" t="s">
        <v>279</v>
      </c>
      <c r="J1521" s="560"/>
      <c r="K1521" s="560"/>
      <c r="L1521" s="560"/>
      <c r="M1521" s="560"/>
      <c r="N1521" s="560"/>
      <c r="O1521" s="560"/>
      <c r="P1521" s="560"/>
      <c r="Q1521" s="562"/>
    </row>
    <row r="1522" spans="4:17">
      <c r="D1522" s="175" t="s">
        <v>522</v>
      </c>
      <c r="E1522" s="34"/>
      <c r="F1522" s="34"/>
      <c r="G1522" s="34"/>
      <c r="H1522" s="573" t="s">
        <v>1065</v>
      </c>
      <c r="I1522" s="557" t="s">
        <v>525</v>
      </c>
      <c r="J1522" s="34"/>
      <c r="K1522" s="34"/>
      <c r="L1522" s="34"/>
      <c r="M1522" s="34"/>
      <c r="N1522" s="34"/>
      <c r="O1522" s="34"/>
      <c r="P1522" s="34"/>
      <c r="Q1522" s="42"/>
    </row>
    <row r="1523" spans="4:17">
      <c r="D1523" s="553" t="s">
        <v>523</v>
      </c>
      <c r="E1523" s="552"/>
      <c r="F1523" s="552"/>
      <c r="G1523" s="552"/>
      <c r="H1523" s="574"/>
      <c r="I1523" s="558" t="s">
        <v>526</v>
      </c>
      <c r="J1523" s="552"/>
      <c r="K1523" s="552"/>
      <c r="L1523" s="552"/>
      <c r="M1523" s="552"/>
      <c r="N1523" s="552"/>
      <c r="O1523" s="552"/>
      <c r="P1523" s="552"/>
      <c r="Q1523" s="554"/>
    </row>
    <row r="1524" spans="4:17">
      <c r="D1524" s="175" t="s">
        <v>1068</v>
      </c>
      <c r="E1524" s="34"/>
      <c r="F1524" s="34"/>
      <c r="G1524" s="34"/>
      <c r="H1524" s="573" t="s">
        <v>1067</v>
      </c>
      <c r="I1524" s="557" t="s">
        <v>280</v>
      </c>
      <c r="J1524" s="34"/>
      <c r="K1524" s="34"/>
      <c r="L1524" s="34"/>
      <c r="M1524" s="34"/>
      <c r="N1524" s="34"/>
      <c r="O1524" s="34"/>
      <c r="P1524" s="34"/>
      <c r="Q1524" s="42"/>
    </row>
    <row r="1525" spans="4:17">
      <c r="D1525" s="553"/>
      <c r="E1525" s="552"/>
      <c r="F1525" s="552"/>
      <c r="G1525" s="552"/>
      <c r="H1525" s="574"/>
      <c r="I1525" s="558" t="s">
        <v>524</v>
      </c>
      <c r="J1525" s="552"/>
      <c r="K1525" s="552"/>
      <c r="L1525" s="552"/>
      <c r="M1525" s="552"/>
      <c r="N1525" s="552"/>
      <c r="O1525" s="552"/>
      <c r="P1525" s="552"/>
      <c r="Q1525" s="554"/>
    </row>
    <row r="1526" spans="4:17">
      <c r="D1526" s="175" t="s">
        <v>1070</v>
      </c>
      <c r="E1526" s="34"/>
      <c r="F1526" s="34"/>
      <c r="G1526" s="34"/>
      <c r="H1526" s="573" t="s">
        <v>1069</v>
      </c>
      <c r="I1526" s="557" t="s">
        <v>520</v>
      </c>
      <c r="J1526" s="34"/>
      <c r="K1526" s="34"/>
      <c r="L1526" s="34"/>
      <c r="M1526" s="34"/>
      <c r="N1526" s="34"/>
      <c r="O1526" s="34"/>
      <c r="P1526" s="34"/>
      <c r="Q1526" s="42"/>
    </row>
    <row r="1527" spans="4:17">
      <c r="D1527" s="553"/>
      <c r="E1527" s="552"/>
      <c r="F1527" s="552"/>
      <c r="G1527" s="552"/>
      <c r="H1527" s="574"/>
      <c r="I1527" s="558" t="s">
        <v>521</v>
      </c>
      <c r="J1527" s="552"/>
      <c r="K1527" s="552"/>
      <c r="L1527" s="552"/>
      <c r="M1527" s="552"/>
      <c r="N1527" s="552"/>
      <c r="O1527" s="552"/>
      <c r="P1527" s="552"/>
      <c r="Q1527" s="554"/>
    </row>
    <row r="1528" spans="4:17">
      <c r="D1528" s="559" t="s">
        <v>1072</v>
      </c>
      <c r="E1528" s="560"/>
      <c r="F1528" s="560"/>
      <c r="G1528" s="560"/>
      <c r="H1528" s="572" t="s">
        <v>1071</v>
      </c>
      <c r="I1528" s="561" t="s">
        <v>1056</v>
      </c>
      <c r="J1528" s="560"/>
      <c r="K1528" s="560"/>
      <c r="L1528" s="560"/>
      <c r="M1528" s="560"/>
      <c r="N1528" s="560"/>
      <c r="O1528" s="560"/>
      <c r="P1528" s="560"/>
      <c r="Q1528" s="562"/>
    </row>
    <row r="1529" spans="4:17">
      <c r="D1529" s="559" t="s">
        <v>1074</v>
      </c>
      <c r="E1529" s="560"/>
      <c r="F1529" s="560"/>
      <c r="G1529" s="560"/>
      <c r="H1529" s="572" t="s">
        <v>1073</v>
      </c>
      <c r="I1529" s="561" t="s">
        <v>1057</v>
      </c>
      <c r="J1529" s="560"/>
      <c r="K1529" s="560"/>
      <c r="L1529" s="560"/>
      <c r="M1529" s="560"/>
      <c r="N1529" s="560"/>
      <c r="O1529" s="560"/>
      <c r="P1529" s="560"/>
      <c r="Q1529" s="562"/>
    </row>
    <row r="1530" spans="4:17">
      <c r="D1530" s="559" t="s">
        <v>277</v>
      </c>
      <c r="E1530" s="560"/>
      <c r="F1530" s="560"/>
      <c r="G1530" s="560"/>
      <c r="H1530" s="572" t="s">
        <v>1075</v>
      </c>
      <c r="I1530" s="561" t="s">
        <v>1058</v>
      </c>
      <c r="J1530" s="560"/>
      <c r="K1530" s="560"/>
      <c r="L1530" s="560"/>
      <c r="M1530" s="560"/>
      <c r="N1530" s="560"/>
      <c r="O1530" s="560"/>
      <c r="P1530" s="560"/>
      <c r="Q1530" s="562"/>
    </row>
    <row r="1531" spans="4:17">
      <c r="D1531" s="559" t="s">
        <v>1077</v>
      </c>
      <c r="E1531" s="560"/>
      <c r="F1531" s="560"/>
      <c r="G1531" s="560"/>
      <c r="H1531" s="572" t="s">
        <v>1076</v>
      </c>
      <c r="I1531" s="561" t="s">
        <v>1059</v>
      </c>
      <c r="J1531" s="560"/>
      <c r="K1531" s="560"/>
      <c r="L1531" s="560"/>
      <c r="M1531" s="560"/>
      <c r="N1531" s="560"/>
      <c r="O1531" s="560"/>
      <c r="P1531" s="560"/>
      <c r="Q1531" s="562"/>
    </row>
    <row r="1532" spans="4:17">
      <c r="D1532" s="563" t="s">
        <v>532</v>
      </c>
      <c r="E1532" s="564"/>
      <c r="F1532" s="564"/>
      <c r="G1532" s="564"/>
      <c r="H1532" s="575" t="s">
        <v>533</v>
      </c>
      <c r="I1532" s="565" t="s">
        <v>534</v>
      </c>
      <c r="J1532" s="564"/>
      <c r="K1532" s="564"/>
      <c r="L1532" s="564"/>
      <c r="M1532" s="564"/>
      <c r="N1532" s="564"/>
      <c r="O1532" s="564"/>
      <c r="P1532" s="564"/>
      <c r="Q1532" s="566"/>
    </row>
    <row r="1533" spans="4:17">
      <c r="D1533" s="563" t="s">
        <v>1079</v>
      </c>
      <c r="E1533" s="564"/>
      <c r="F1533" s="564"/>
      <c r="G1533" s="564"/>
      <c r="H1533" s="575" t="s">
        <v>1078</v>
      </c>
      <c r="I1533" s="565" t="s">
        <v>281</v>
      </c>
      <c r="J1533" s="564"/>
      <c r="K1533" s="564"/>
      <c r="L1533" s="564"/>
      <c r="M1533" s="564"/>
      <c r="N1533" s="564"/>
      <c r="O1533" s="564"/>
      <c r="P1533" s="564"/>
      <c r="Q1533" s="566"/>
    </row>
    <row r="1534" spans="4:17">
      <c r="D1534" s="175"/>
      <c r="E1534" s="34"/>
      <c r="F1534" s="34"/>
      <c r="G1534" s="34"/>
      <c r="H1534" s="573"/>
      <c r="I1534" s="557" t="s">
        <v>282</v>
      </c>
      <c r="J1534" s="34"/>
      <c r="K1534" s="34"/>
      <c r="L1534" s="34"/>
      <c r="M1534" s="34"/>
      <c r="N1534" s="34"/>
      <c r="O1534" s="34"/>
      <c r="P1534" s="34"/>
      <c r="Q1534" s="42"/>
    </row>
    <row r="1535" spans="4:17">
      <c r="D1535" s="175"/>
      <c r="E1535" s="34"/>
      <c r="F1535" s="34"/>
      <c r="G1535" s="34"/>
      <c r="H1535" s="573"/>
      <c r="I1535" s="557" t="s">
        <v>529</v>
      </c>
      <c r="J1535" s="34"/>
      <c r="K1535" s="34"/>
      <c r="L1535" s="34"/>
      <c r="M1535" s="34"/>
      <c r="N1535" s="34"/>
      <c r="O1535" s="34"/>
      <c r="P1535" s="34"/>
      <c r="Q1535" s="42"/>
    </row>
    <row r="1536" spans="4:17">
      <c r="D1536" s="553"/>
      <c r="E1536" s="552"/>
      <c r="F1536" s="552"/>
      <c r="G1536" s="552"/>
      <c r="H1536" s="574"/>
      <c r="I1536" s="556" t="s">
        <v>530</v>
      </c>
      <c r="J1536" s="552"/>
      <c r="K1536" s="552"/>
      <c r="L1536" s="552"/>
      <c r="M1536" s="552"/>
      <c r="N1536" s="552"/>
      <c r="O1536" s="552"/>
      <c r="P1536" s="552"/>
      <c r="Q1536" s="554"/>
    </row>
    <row r="1537" spans="3:17">
      <c r="D1537" s="175" t="s">
        <v>527</v>
      </c>
      <c r="E1537" s="34"/>
      <c r="F1537" s="34"/>
      <c r="G1537" s="34"/>
      <c r="H1537" s="573" t="s">
        <v>1080</v>
      </c>
      <c r="I1537" s="557" t="s">
        <v>283</v>
      </c>
      <c r="J1537" s="34"/>
      <c r="K1537" s="34"/>
      <c r="L1537" s="34"/>
      <c r="M1537" s="34"/>
      <c r="N1537" s="34"/>
      <c r="O1537" s="34"/>
      <c r="P1537" s="34"/>
      <c r="Q1537" s="42"/>
    </row>
    <row r="1538" spans="3:17">
      <c r="D1538" s="553" t="s">
        <v>528</v>
      </c>
      <c r="E1538" s="552"/>
      <c r="F1538" s="552"/>
      <c r="G1538" s="552"/>
      <c r="H1538" s="574"/>
      <c r="I1538" s="558" t="s">
        <v>519</v>
      </c>
      <c r="J1538" s="552"/>
      <c r="K1538" s="552"/>
      <c r="L1538" s="552"/>
      <c r="M1538" s="552"/>
      <c r="N1538" s="552"/>
      <c r="O1538" s="552"/>
      <c r="P1538" s="552"/>
      <c r="Q1538" s="554"/>
    </row>
    <row r="1539" spans="3:17">
      <c r="D1539" s="559" t="s">
        <v>278</v>
      </c>
      <c r="E1539" s="560"/>
      <c r="F1539" s="560"/>
      <c r="G1539" s="560"/>
      <c r="H1539" s="572" t="s">
        <v>1082</v>
      </c>
      <c r="I1539" s="561" t="s">
        <v>531</v>
      </c>
      <c r="J1539" s="560"/>
      <c r="K1539" s="560"/>
      <c r="L1539" s="560"/>
      <c r="M1539" s="560"/>
      <c r="N1539" s="560"/>
      <c r="O1539" s="560"/>
      <c r="P1539" s="560"/>
      <c r="Q1539" s="562"/>
    </row>
    <row r="1540" spans="3:17">
      <c r="D1540" s="567" t="s">
        <v>1085</v>
      </c>
      <c r="E1540" s="568"/>
      <c r="F1540" s="568"/>
      <c r="G1540" s="568"/>
      <c r="H1540" s="550" t="s">
        <v>1084</v>
      </c>
      <c r="I1540" s="569" t="s">
        <v>1060</v>
      </c>
      <c r="J1540" s="568"/>
      <c r="K1540" s="568"/>
      <c r="L1540" s="568"/>
      <c r="M1540" s="568"/>
      <c r="N1540" s="568"/>
      <c r="O1540" s="568"/>
      <c r="P1540" s="568"/>
      <c r="Q1540" s="570"/>
    </row>
    <row r="1544" spans="3:17" ht="20.399999999999999">
      <c r="C1544" s="535" t="s">
        <v>837</v>
      </c>
      <c r="D1544" s="69"/>
      <c r="E1544"/>
      <c r="F1544" s="536" t="s">
        <v>1048</v>
      </c>
    </row>
    <row r="1545" spans="3:17">
      <c r="C1545" s="33" t="s">
        <v>42</v>
      </c>
    </row>
    <row r="1546" spans="3:17">
      <c r="C1546" s="33" t="s">
        <v>43</v>
      </c>
    </row>
    <row r="1547" spans="3:17">
      <c r="C1547" s="33" t="s">
        <v>893</v>
      </c>
    </row>
    <row r="1548" spans="3:17">
      <c r="C1548" s="33" t="s">
        <v>894</v>
      </c>
    </row>
    <row r="1550" spans="3:17">
      <c r="C1550" s="33" t="s">
        <v>46</v>
      </c>
    </row>
    <row r="1551" spans="3:17">
      <c r="C1551" s="50" t="s">
        <v>840</v>
      </c>
      <c r="D1551" s="33" t="s">
        <v>44</v>
      </c>
    </row>
    <row r="1552" spans="3:17">
      <c r="C1552" s="50" t="s">
        <v>840</v>
      </c>
      <c r="D1552" s="33" t="s">
        <v>45</v>
      </c>
    </row>
    <row r="1554" spans="2:17">
      <c r="C1554" s="33" t="s">
        <v>720</v>
      </c>
      <c r="D1554" s="391" t="s">
        <v>852</v>
      </c>
    </row>
    <row r="1555" spans="2:17" ht="18.600000000000001">
      <c r="B1555" s="182"/>
      <c r="D1555" s="33" t="s">
        <v>48</v>
      </c>
    </row>
    <row r="1556" spans="2:17">
      <c r="D1556" s="33" t="s">
        <v>49</v>
      </c>
    </row>
    <row r="1557" spans="2:17">
      <c r="D1557" s="33" t="s">
        <v>50</v>
      </c>
    </row>
    <row r="1558" spans="2:17" ht="18.600000000000001">
      <c r="B1558" s="182"/>
      <c r="D1558" s="33" t="s">
        <v>47</v>
      </c>
    </row>
    <row r="1559" spans="2:17">
      <c r="F1559"/>
      <c r="G1559"/>
    </row>
    <row r="1560" spans="2:17">
      <c r="D1560" s="591" t="s">
        <v>51</v>
      </c>
      <c r="E1560" s="592"/>
      <c r="F1560" s="592"/>
      <c r="G1560" s="603" t="s">
        <v>56</v>
      </c>
      <c r="H1560" s="593"/>
      <c r="I1560" s="593"/>
      <c r="J1560" s="593"/>
      <c r="K1560" s="593"/>
      <c r="L1560" s="593"/>
      <c r="M1560" s="593"/>
      <c r="N1560" s="593"/>
      <c r="O1560" s="593"/>
      <c r="P1560" s="593"/>
      <c r="Q1560" s="594"/>
    </row>
    <row r="1561" spans="2:17">
      <c r="D1561" s="599" t="s">
        <v>52</v>
      </c>
      <c r="E1561" s="600"/>
      <c r="F1561" s="600"/>
      <c r="G1561" s="604" t="s">
        <v>58</v>
      </c>
      <c r="H1561" s="564"/>
      <c r="I1561" s="564"/>
      <c r="J1561" s="564"/>
      <c r="K1561" s="564"/>
      <c r="L1561" s="564"/>
      <c r="M1561" s="564"/>
      <c r="N1561" s="564"/>
      <c r="O1561" s="564"/>
      <c r="P1561" s="564"/>
      <c r="Q1561" s="566"/>
    </row>
    <row r="1562" spans="2:17">
      <c r="D1562" s="601"/>
      <c r="E1562" s="602"/>
      <c r="F1562" s="602"/>
      <c r="G1562" s="556" t="s">
        <v>59</v>
      </c>
      <c r="H1562" s="552"/>
      <c r="I1562" s="552"/>
      <c r="J1562" s="552"/>
      <c r="K1562" s="552"/>
      <c r="L1562" s="552"/>
      <c r="M1562" s="552"/>
      <c r="N1562" s="552"/>
      <c r="O1562" s="552"/>
      <c r="P1562" s="552"/>
      <c r="Q1562" s="554"/>
    </row>
    <row r="1563" spans="2:17">
      <c r="D1563" s="595" t="s">
        <v>53</v>
      </c>
      <c r="E1563" s="596"/>
      <c r="F1563" s="596"/>
      <c r="G1563" s="605" t="s">
        <v>1044</v>
      </c>
      <c r="H1563" s="560"/>
      <c r="I1563" s="560"/>
      <c r="J1563" s="560"/>
      <c r="K1563" s="560"/>
      <c r="L1563" s="560"/>
      <c r="M1563" s="560"/>
      <c r="N1563" s="560"/>
      <c r="O1563" s="560"/>
      <c r="P1563" s="560"/>
      <c r="Q1563" s="562"/>
    </row>
    <row r="1564" spans="2:17">
      <c r="D1564" s="595" t="s">
        <v>54</v>
      </c>
      <c r="E1564" s="596"/>
      <c r="F1564" s="596"/>
      <c r="G1564" s="605" t="s">
        <v>1043</v>
      </c>
      <c r="H1564" s="560"/>
      <c r="I1564" s="560"/>
      <c r="J1564" s="560"/>
      <c r="K1564" s="560"/>
      <c r="L1564" s="560"/>
      <c r="M1564" s="560"/>
      <c r="N1564" s="560"/>
      <c r="O1564" s="560"/>
      <c r="P1564" s="560"/>
      <c r="Q1564" s="562"/>
    </row>
    <row r="1565" spans="2:17">
      <c r="D1565" s="597" t="s">
        <v>55</v>
      </c>
      <c r="E1565" s="598"/>
      <c r="F1565" s="598"/>
      <c r="G1565" s="606" t="s">
        <v>57</v>
      </c>
      <c r="H1565" s="568"/>
      <c r="I1565" s="568"/>
      <c r="J1565" s="568"/>
      <c r="K1565" s="568"/>
      <c r="L1565" s="568"/>
      <c r="M1565" s="568"/>
      <c r="N1565" s="568"/>
      <c r="O1565" s="568"/>
      <c r="P1565" s="568"/>
      <c r="Q1565" s="570"/>
    </row>
    <row r="1568" spans="2:17">
      <c r="C1568" s="33" t="s">
        <v>726</v>
      </c>
      <c r="D1568" s="391" t="s">
        <v>851</v>
      </c>
    </row>
    <row r="1569" spans="2:14">
      <c r="D1569" s="33" t="s">
        <v>1045</v>
      </c>
    </row>
    <row r="1570" spans="2:14">
      <c r="D1570" s="33" t="s">
        <v>1046</v>
      </c>
    </row>
    <row r="1571" spans="2:14">
      <c r="D1571" s="33" t="s">
        <v>849</v>
      </c>
    </row>
    <row r="1572" spans="2:14">
      <c r="D1572" s="33" t="s">
        <v>850</v>
      </c>
    </row>
    <row r="1573" spans="2:14" ht="18.600000000000001">
      <c r="B1573" s="182"/>
      <c r="F1573" s="48">
        <v>100</v>
      </c>
      <c r="G1573" s="33" t="s">
        <v>853</v>
      </c>
      <c r="M1573" s="48">
        <v>500</v>
      </c>
      <c r="N1573" s="33" t="s">
        <v>857</v>
      </c>
    </row>
    <row r="1574" spans="2:14">
      <c r="F1574" s="48">
        <v>200</v>
      </c>
      <c r="G1574" s="33" t="s">
        <v>854</v>
      </c>
      <c r="M1574" s="48">
        <v>600</v>
      </c>
      <c r="N1574" s="33" t="s">
        <v>858</v>
      </c>
    </row>
    <row r="1575" spans="2:14">
      <c r="F1575" s="48">
        <v>300</v>
      </c>
      <c r="G1575" s="33" t="s">
        <v>855</v>
      </c>
      <c r="M1575" s="48">
        <v>700</v>
      </c>
      <c r="N1575" s="33" t="s">
        <v>859</v>
      </c>
    </row>
    <row r="1576" spans="2:14">
      <c r="F1576" s="48">
        <v>400</v>
      </c>
      <c r="G1576" s="33" t="s">
        <v>856</v>
      </c>
    </row>
    <row r="1578" spans="2:14">
      <c r="D1578" s="607" t="s">
        <v>1002</v>
      </c>
    </row>
    <row r="1579" spans="2:14">
      <c r="D1579" s="33" t="s">
        <v>1003</v>
      </c>
    </row>
    <row r="1580" spans="2:14">
      <c r="D1580" s="33" t="s">
        <v>1004</v>
      </c>
    </row>
    <row r="1581" spans="2:14">
      <c r="D1581" s="33" t="s">
        <v>1005</v>
      </c>
    </row>
    <row r="1582" spans="2:14" ht="18.600000000000001">
      <c r="B1582" s="182"/>
      <c r="D1582" s="33" t="s">
        <v>862</v>
      </c>
    </row>
    <row r="1583" spans="2:14">
      <c r="D1583" s="33" t="s">
        <v>860</v>
      </c>
    </row>
    <row r="1584" spans="2:14">
      <c r="D1584" s="33" t="s">
        <v>861</v>
      </c>
    </row>
    <row r="1585" spans="2:17" ht="18.600000000000001">
      <c r="B1585" s="182"/>
      <c r="D1585" s="33" t="s">
        <v>863</v>
      </c>
    </row>
    <row r="1587" spans="2:17">
      <c r="F1587" s="608" t="s">
        <v>884</v>
      </c>
      <c r="G1587" s="609"/>
      <c r="H1587" s="609"/>
      <c r="I1587" s="609"/>
      <c r="J1587" s="609"/>
      <c r="K1587" s="609"/>
      <c r="L1587" s="610" t="s">
        <v>883</v>
      </c>
      <c r="M1587" s="609"/>
      <c r="N1587" s="609"/>
      <c r="O1587" s="609"/>
      <c r="P1587" s="609"/>
      <c r="Q1587" s="73"/>
    </row>
    <row r="1588" spans="2:17">
      <c r="F1588" s="611">
        <v>410</v>
      </c>
      <c r="G1588" s="34" t="s">
        <v>864</v>
      </c>
      <c r="H1588" s="34"/>
      <c r="I1588" s="34"/>
      <c r="J1588" s="34"/>
      <c r="K1588" s="34"/>
      <c r="L1588" s="613" t="s">
        <v>865</v>
      </c>
      <c r="M1588" s="34"/>
      <c r="N1588" s="34"/>
      <c r="O1588" s="34"/>
      <c r="P1588" s="34"/>
      <c r="Q1588" s="42"/>
    </row>
    <row r="1589" spans="2:17">
      <c r="F1589" s="612"/>
      <c r="G1589" s="552"/>
      <c r="H1589" s="552"/>
      <c r="I1589" s="552"/>
      <c r="J1589" s="552"/>
      <c r="K1589" s="552"/>
      <c r="L1589" s="614" t="s">
        <v>866</v>
      </c>
      <c r="M1589" s="552"/>
      <c r="N1589" s="552"/>
      <c r="O1589" s="552"/>
      <c r="P1589" s="552"/>
      <c r="Q1589" s="554"/>
    </row>
    <row r="1590" spans="2:17">
      <c r="F1590" s="611">
        <v>420</v>
      </c>
      <c r="G1590" s="34" t="s">
        <v>867</v>
      </c>
      <c r="H1590" s="34"/>
      <c r="I1590" s="34"/>
      <c r="J1590" s="34"/>
      <c r="K1590" s="34"/>
      <c r="L1590" s="613" t="s">
        <v>868</v>
      </c>
      <c r="M1590" s="34"/>
      <c r="N1590" s="34"/>
      <c r="O1590" s="34"/>
      <c r="P1590" s="34"/>
      <c r="Q1590" s="42"/>
    </row>
    <row r="1591" spans="2:17">
      <c r="F1591" s="612"/>
      <c r="G1591" s="552"/>
      <c r="H1591" s="552"/>
      <c r="I1591" s="552"/>
      <c r="J1591" s="552"/>
      <c r="K1591" s="552"/>
      <c r="L1591" s="614" t="s">
        <v>869</v>
      </c>
      <c r="M1591" s="552"/>
      <c r="N1591" s="552"/>
      <c r="O1591" s="552"/>
      <c r="P1591" s="552"/>
      <c r="Q1591" s="554"/>
    </row>
    <row r="1592" spans="2:17">
      <c r="F1592" s="611">
        <v>430</v>
      </c>
      <c r="G1592" s="34" t="s">
        <v>870</v>
      </c>
      <c r="H1592" s="34"/>
      <c r="I1592" s="34"/>
      <c r="J1592" s="34"/>
      <c r="K1592" s="34"/>
      <c r="L1592" s="613" t="s">
        <v>871</v>
      </c>
      <c r="M1592" s="34"/>
      <c r="N1592" s="34"/>
      <c r="O1592" s="34"/>
      <c r="P1592" s="34"/>
      <c r="Q1592" s="42"/>
    </row>
    <row r="1593" spans="2:17">
      <c r="F1593" s="612"/>
      <c r="G1593" s="552"/>
      <c r="H1593" s="552"/>
      <c r="I1593" s="552"/>
      <c r="J1593" s="552"/>
      <c r="K1593" s="552"/>
      <c r="L1593" s="614" t="s">
        <v>872</v>
      </c>
      <c r="M1593" s="552"/>
      <c r="N1593" s="552"/>
      <c r="O1593" s="552"/>
      <c r="P1593" s="552"/>
      <c r="Q1593" s="554"/>
    </row>
    <row r="1594" spans="2:17">
      <c r="F1594" s="611">
        <v>440</v>
      </c>
      <c r="G1594" s="34" t="s">
        <v>873</v>
      </c>
      <c r="H1594" s="34"/>
      <c r="I1594" s="34"/>
      <c r="J1594" s="34"/>
      <c r="K1594" s="34"/>
      <c r="L1594" s="613" t="s">
        <v>874</v>
      </c>
      <c r="M1594" s="34"/>
      <c r="N1594" s="34"/>
      <c r="O1594" s="34"/>
      <c r="P1594" s="34"/>
      <c r="Q1594" s="42"/>
    </row>
    <row r="1595" spans="2:17">
      <c r="F1595" s="612"/>
      <c r="G1595" s="552"/>
      <c r="H1595" s="552"/>
      <c r="I1595" s="552"/>
      <c r="J1595" s="552"/>
      <c r="K1595" s="552"/>
      <c r="L1595" s="614" t="s">
        <v>875</v>
      </c>
      <c r="M1595" s="552"/>
      <c r="N1595" s="552"/>
      <c r="O1595" s="552"/>
      <c r="P1595" s="552"/>
      <c r="Q1595" s="554"/>
    </row>
    <row r="1596" spans="2:17">
      <c r="F1596" s="611">
        <v>470</v>
      </c>
      <c r="G1596" s="34" t="s">
        <v>876</v>
      </c>
      <c r="H1596" s="34"/>
      <c r="I1596" s="34"/>
      <c r="J1596" s="34"/>
      <c r="K1596" s="34"/>
      <c r="L1596" s="613" t="s">
        <v>878</v>
      </c>
      <c r="M1596" s="34"/>
      <c r="N1596" s="34"/>
      <c r="O1596" s="34"/>
      <c r="P1596" s="34"/>
      <c r="Q1596" s="42"/>
    </row>
    <row r="1597" spans="2:17">
      <c r="F1597" s="175"/>
      <c r="G1597" s="34" t="s">
        <v>877</v>
      </c>
      <c r="H1597" s="34"/>
      <c r="I1597" s="34"/>
      <c r="J1597" s="34"/>
      <c r="K1597" s="34"/>
      <c r="L1597" s="613" t="s">
        <v>879</v>
      </c>
      <c r="M1597" s="34"/>
      <c r="N1597" s="34"/>
      <c r="O1597" s="34"/>
      <c r="P1597" s="34"/>
      <c r="Q1597" s="42"/>
    </row>
    <row r="1598" spans="2:17">
      <c r="F1598" s="175"/>
      <c r="G1598" s="34"/>
      <c r="H1598" s="34"/>
      <c r="I1598" s="34"/>
      <c r="J1598" s="34"/>
      <c r="K1598" s="34"/>
      <c r="L1598" s="613" t="s">
        <v>880</v>
      </c>
      <c r="M1598" s="34"/>
      <c r="N1598" s="34"/>
      <c r="O1598" s="34"/>
      <c r="P1598" s="34"/>
      <c r="Q1598" s="42"/>
    </row>
    <row r="1599" spans="2:17">
      <c r="F1599" s="175"/>
      <c r="G1599" s="34"/>
      <c r="H1599" s="34"/>
      <c r="I1599" s="34"/>
      <c r="J1599" s="34"/>
      <c r="K1599" s="34"/>
      <c r="L1599" s="613" t="s">
        <v>881</v>
      </c>
      <c r="M1599" s="34"/>
      <c r="N1599" s="34"/>
      <c r="O1599" s="34"/>
      <c r="P1599" s="34"/>
      <c r="Q1599" s="42"/>
    </row>
    <row r="1600" spans="2:17">
      <c r="F1600" s="174"/>
      <c r="G1600" s="154"/>
      <c r="H1600" s="154"/>
      <c r="I1600" s="154"/>
      <c r="J1600" s="154"/>
      <c r="K1600" s="154"/>
      <c r="L1600" s="615" t="s">
        <v>882</v>
      </c>
      <c r="M1600" s="154"/>
      <c r="N1600" s="154"/>
      <c r="O1600" s="154"/>
      <c r="P1600" s="154"/>
      <c r="Q1600" s="46"/>
    </row>
    <row r="1602" spans="3:18">
      <c r="D1602" s="33" t="s">
        <v>886</v>
      </c>
    </row>
    <row r="1604" spans="3:18">
      <c r="C1604" s="33" t="s">
        <v>6</v>
      </c>
    </row>
    <row r="1605" spans="3:18">
      <c r="C1605" s="33" t="s">
        <v>885</v>
      </c>
    </row>
    <row r="1608" spans="3:18" ht="20.399999999999999">
      <c r="C1608" s="535" t="s">
        <v>838</v>
      </c>
      <c r="D1608" s="69"/>
      <c r="E1608"/>
      <c r="F1608" s="436" t="s">
        <v>23</v>
      </c>
    </row>
    <row r="1610" spans="3:18">
      <c r="E1610" s="391" t="s">
        <v>36</v>
      </c>
      <c r="H1610" s="98" t="s">
        <v>1608</v>
      </c>
      <c r="R1610" s="98"/>
    </row>
    <row r="1611" spans="3:18">
      <c r="H1611" s="98" t="s">
        <v>1249</v>
      </c>
    </row>
    <row r="1612" spans="3:18">
      <c r="H1612" s="98" t="s">
        <v>1244</v>
      </c>
    </row>
    <row r="1614" spans="3:18" ht="12.75" customHeight="1">
      <c r="H1614" s="551" t="s">
        <v>1087</v>
      </c>
      <c r="I1614" s="154"/>
      <c r="J1614" s="551"/>
      <c r="K1614" s="154"/>
      <c r="L1614" s="551" t="s">
        <v>1086</v>
      </c>
      <c r="M1614" s="551"/>
      <c r="N1614" s="551" t="s">
        <v>550</v>
      </c>
      <c r="O1614" s="154"/>
      <c r="P1614" s="551" t="s">
        <v>276</v>
      </c>
      <c r="Q1614" s="154"/>
    </row>
    <row r="1615" spans="3:18" ht="12.75" customHeight="1">
      <c r="H1615" s="192" t="s">
        <v>1064</v>
      </c>
      <c r="J1615" s="192"/>
      <c r="L1615" s="192" t="s">
        <v>1063</v>
      </c>
      <c r="N1615" s="549">
        <v>2013.53</v>
      </c>
      <c r="O1615" s="192" t="s">
        <v>1088</v>
      </c>
      <c r="P1615" s="192">
        <v>16.37</v>
      </c>
      <c r="Q1615" s="192" t="s">
        <v>1088</v>
      </c>
    </row>
    <row r="1616" spans="3:18" ht="12.75" customHeight="1">
      <c r="H1616" s="192" t="s">
        <v>1066</v>
      </c>
      <c r="J1616" s="192"/>
      <c r="L1616" s="192" t="s">
        <v>1065</v>
      </c>
      <c r="N1616" s="549">
        <v>55.32</v>
      </c>
      <c r="O1616" s="192" t="s">
        <v>1088</v>
      </c>
      <c r="P1616" s="192">
        <v>0.45</v>
      </c>
      <c r="Q1616" s="192" t="s">
        <v>1088</v>
      </c>
    </row>
    <row r="1617" spans="5:22" ht="12.75" customHeight="1">
      <c r="H1617" s="192" t="s">
        <v>1068</v>
      </c>
      <c r="J1617" s="192"/>
      <c r="L1617" s="192" t="s">
        <v>1067</v>
      </c>
      <c r="N1617" s="549">
        <v>1958.21</v>
      </c>
      <c r="O1617" s="192" t="s">
        <v>1088</v>
      </c>
      <c r="P1617" s="192">
        <v>15.92</v>
      </c>
      <c r="Q1617" s="192" t="s">
        <v>1088</v>
      </c>
    </row>
    <row r="1618" spans="5:22" ht="12.75" customHeight="1">
      <c r="H1618" s="192" t="s">
        <v>1070</v>
      </c>
      <c r="J1618" s="192"/>
      <c r="L1618" s="192" t="s">
        <v>1069</v>
      </c>
      <c r="N1618" s="549">
        <v>1438.56</v>
      </c>
      <c r="O1618" s="192" t="s">
        <v>1088</v>
      </c>
      <c r="P1618" s="192">
        <v>11.7</v>
      </c>
      <c r="Q1618" s="192" t="s">
        <v>1088</v>
      </c>
    </row>
    <row r="1619" spans="5:22" ht="12.75" customHeight="1">
      <c r="H1619" s="192" t="s">
        <v>1072</v>
      </c>
      <c r="J1619" s="192"/>
      <c r="L1619" s="192" t="s">
        <v>1071</v>
      </c>
      <c r="N1619" s="549">
        <v>519.65</v>
      </c>
      <c r="O1619" s="192" t="s">
        <v>1088</v>
      </c>
      <c r="P1619" s="192">
        <v>4.22</v>
      </c>
      <c r="Q1619" s="192" t="s">
        <v>1088</v>
      </c>
    </row>
    <row r="1620" spans="5:22" ht="12.75" customHeight="1">
      <c r="H1620" s="192" t="s">
        <v>1074</v>
      </c>
      <c r="J1620" s="192"/>
      <c r="L1620" s="192" t="s">
        <v>1073</v>
      </c>
      <c r="N1620" s="549">
        <v>785.7</v>
      </c>
      <c r="O1620" s="192" t="s">
        <v>1088</v>
      </c>
      <c r="P1620" s="192">
        <v>6.39</v>
      </c>
      <c r="Q1620" s="192" t="s">
        <v>1088</v>
      </c>
    </row>
    <row r="1621" spans="5:22" ht="12.75" customHeight="1">
      <c r="H1621" s="192" t="s">
        <v>277</v>
      </c>
      <c r="J1621" s="192"/>
      <c r="L1621" s="192" t="s">
        <v>1075</v>
      </c>
      <c r="N1621" s="549">
        <v>118</v>
      </c>
      <c r="O1621" s="192" t="s">
        <v>1088</v>
      </c>
      <c r="P1621" s="192">
        <v>0.96</v>
      </c>
      <c r="Q1621" s="192" t="s">
        <v>1088</v>
      </c>
    </row>
    <row r="1622" spans="5:22" ht="12.75" customHeight="1">
      <c r="H1622" s="192" t="s">
        <v>1077</v>
      </c>
      <c r="J1622" s="192"/>
      <c r="L1622" s="192" t="s">
        <v>1076</v>
      </c>
      <c r="N1622" s="549">
        <v>9585.32</v>
      </c>
      <c r="O1622" s="192" t="s">
        <v>1089</v>
      </c>
      <c r="P1622" s="192">
        <v>77.930000000000007</v>
      </c>
      <c r="Q1622" s="192" t="s">
        <v>1089</v>
      </c>
    </row>
    <row r="1623" spans="5:22" ht="12.75" customHeight="1">
      <c r="H1623" s="192" t="s">
        <v>1079</v>
      </c>
      <c r="J1623" s="192"/>
      <c r="L1623" s="192" t="s">
        <v>1078</v>
      </c>
      <c r="N1623" s="549">
        <v>12074.3</v>
      </c>
      <c r="O1623" s="192" t="s">
        <v>1089</v>
      </c>
      <c r="P1623" s="192">
        <v>98.17</v>
      </c>
      <c r="Q1623" s="192" t="s">
        <v>1089</v>
      </c>
    </row>
    <row r="1624" spans="5:22" ht="12.75" customHeight="1">
      <c r="H1624" s="192" t="s">
        <v>1081</v>
      </c>
      <c r="J1624" s="192"/>
      <c r="L1624" s="192" t="s">
        <v>1080</v>
      </c>
      <c r="N1624" s="549">
        <v>1962</v>
      </c>
      <c r="O1624" s="192" t="s">
        <v>1089</v>
      </c>
      <c r="P1624" s="192">
        <v>15.95</v>
      </c>
      <c r="Q1624" s="192" t="s">
        <v>1089</v>
      </c>
    </row>
    <row r="1625" spans="5:22" ht="12.75" customHeight="1">
      <c r="H1625" s="192" t="s">
        <v>1083</v>
      </c>
      <c r="J1625" s="192"/>
      <c r="L1625" s="192" t="s">
        <v>1082</v>
      </c>
      <c r="N1625" s="549">
        <v>1704.45</v>
      </c>
      <c r="O1625" s="192" t="s">
        <v>1089</v>
      </c>
      <c r="P1625" s="192">
        <v>13.86</v>
      </c>
      <c r="Q1625" s="192" t="s">
        <v>1089</v>
      </c>
    </row>
    <row r="1626" spans="5:22" ht="12.75" customHeight="1">
      <c r="H1626" s="192" t="s">
        <v>1085</v>
      </c>
      <c r="J1626" s="192"/>
      <c r="L1626" s="192" t="s">
        <v>1084</v>
      </c>
      <c r="N1626" s="192">
        <v>6</v>
      </c>
      <c r="O1626" s="192" t="s">
        <v>1090</v>
      </c>
      <c r="P1626" s="180" t="s">
        <v>840</v>
      </c>
      <c r="Q1626" s="192"/>
    </row>
    <row r="1627" spans="5:22">
      <c r="T1627" s="33" t="s">
        <v>1172</v>
      </c>
      <c r="V1627" s="537">
        <v>124</v>
      </c>
    </row>
    <row r="1628" spans="5:22" ht="14.1" customHeight="1">
      <c r="E1628" s="391" t="s">
        <v>34</v>
      </c>
      <c r="T1628" s="544" t="s">
        <v>7</v>
      </c>
      <c r="U1628" s="541" t="s">
        <v>1050</v>
      </c>
      <c r="V1628" s="542" t="s">
        <v>1051</v>
      </c>
    </row>
    <row r="1629" spans="5:22">
      <c r="F1629" s="33" t="s">
        <v>25</v>
      </c>
      <c r="J1629" s="1568">
        <f>T1629*(1+$U$1632)</f>
        <v>633000</v>
      </c>
      <c r="K1629" s="1568"/>
      <c r="L1629" s="29" t="s">
        <v>27</v>
      </c>
      <c r="M1629" s="29"/>
      <c r="N1629" s="533" t="s">
        <v>614</v>
      </c>
      <c r="O1629" s="534">
        <f>J1629/$V$1627</f>
        <v>5104.8387096774195</v>
      </c>
      <c r="P1629" s="375" t="s">
        <v>35</v>
      </c>
      <c r="T1629" s="545">
        <v>633000</v>
      </c>
      <c r="U1629" s="537">
        <v>30</v>
      </c>
      <c r="V1629" s="538">
        <v>0.01</v>
      </c>
    </row>
    <row r="1630" spans="5:22">
      <c r="F1630" s="33" t="s">
        <v>24</v>
      </c>
      <c r="J1630" s="1549">
        <f>T1630*(1+$U$1632)</f>
        <v>112500</v>
      </c>
      <c r="K1630" s="1549"/>
      <c r="L1630" s="33" t="s">
        <v>27</v>
      </c>
      <c r="N1630" s="533" t="s">
        <v>614</v>
      </c>
      <c r="O1630" s="534">
        <f>J1630/$V$1627</f>
        <v>907.25806451612902</v>
      </c>
      <c r="P1630" s="375" t="s">
        <v>35</v>
      </c>
      <c r="T1630" s="545">
        <v>112500</v>
      </c>
      <c r="U1630" s="537">
        <v>15</v>
      </c>
      <c r="V1630" s="538">
        <v>0.02</v>
      </c>
    </row>
    <row r="1631" spans="5:22">
      <c r="F1631" s="33" t="s">
        <v>26</v>
      </c>
      <c r="J1631" s="1549">
        <f>T1631*(1+$U$1632)</f>
        <v>330000</v>
      </c>
      <c r="K1631" s="1549"/>
      <c r="L1631" s="33" t="s">
        <v>27</v>
      </c>
      <c r="N1631" s="533" t="s">
        <v>614</v>
      </c>
      <c r="O1631" s="534">
        <f>J1631/$V$1627</f>
        <v>2661.2903225806454</v>
      </c>
      <c r="P1631" s="375" t="s">
        <v>35</v>
      </c>
      <c r="T1631" s="546">
        <v>330000</v>
      </c>
      <c r="U1631" s="539">
        <v>10</v>
      </c>
      <c r="V1631" s="540">
        <v>0.03</v>
      </c>
    </row>
    <row r="1632" spans="5:22">
      <c r="F1632" s="33" t="s">
        <v>32</v>
      </c>
      <c r="J1632" s="1549">
        <f>SUM(J1629:J1631)</f>
        <v>1075500</v>
      </c>
      <c r="K1632" s="1549"/>
      <c r="L1632" s="33" t="s">
        <v>27</v>
      </c>
      <c r="N1632" s="533" t="s">
        <v>614</v>
      </c>
      <c r="O1632" s="534">
        <f>J1632/$V$1627</f>
        <v>8673.3870967741932</v>
      </c>
      <c r="P1632" s="375" t="s">
        <v>35</v>
      </c>
      <c r="T1632" s="529" t="s">
        <v>1052</v>
      </c>
      <c r="U1632" s="547"/>
      <c r="V1632" s="531"/>
    </row>
    <row r="1633" spans="5:22">
      <c r="T1633" s="174" t="s">
        <v>1053</v>
      </c>
      <c r="U1633" s="543">
        <v>0.05</v>
      </c>
      <c r="V1633" s="46"/>
    </row>
    <row r="1634" spans="5:22">
      <c r="T1634" s="174" t="s">
        <v>94</v>
      </c>
      <c r="U1634" s="548">
        <v>2E-3</v>
      </c>
      <c r="V1634" s="46"/>
    </row>
    <row r="1636" spans="5:22">
      <c r="E1636" s="391" t="s">
        <v>812</v>
      </c>
      <c r="J1636" s="154"/>
      <c r="K1636" s="525" t="s">
        <v>736</v>
      </c>
      <c r="L1636" s="525" t="s">
        <v>443</v>
      </c>
      <c r="M1636" s="289" t="s">
        <v>247</v>
      </c>
      <c r="N1636" s="525" t="s">
        <v>63</v>
      </c>
      <c r="O1636" s="154" t="s">
        <v>28</v>
      </c>
      <c r="Q1636" s="189" t="s">
        <v>8</v>
      </c>
    </row>
    <row r="1637" spans="5:22">
      <c r="F1637" s="33" t="s">
        <v>25</v>
      </c>
      <c r="J1637" s="1549">
        <f>$J$1629</f>
        <v>633000</v>
      </c>
      <c r="K1637" s="1549"/>
      <c r="L1637" s="50" t="s">
        <v>443</v>
      </c>
      <c r="M1637" s="33">
        <f>U1629</f>
        <v>30</v>
      </c>
      <c r="N1637" s="33" t="s">
        <v>29</v>
      </c>
      <c r="O1637" s="153">
        <f>J1637/M1637</f>
        <v>21100</v>
      </c>
      <c r="Q1637" s="524">
        <f>1/M1637</f>
        <v>3.3333333333333333E-2</v>
      </c>
      <c r="T1637" s="431"/>
    </row>
    <row r="1638" spans="5:22">
      <c r="F1638" s="33" t="s">
        <v>24</v>
      </c>
      <c r="J1638" s="1549">
        <f>$J$1630</f>
        <v>112500</v>
      </c>
      <c r="K1638" s="1549"/>
      <c r="L1638" s="50" t="s">
        <v>443</v>
      </c>
      <c r="M1638" s="33">
        <f>U1630</f>
        <v>15</v>
      </c>
      <c r="N1638" s="33" t="s">
        <v>29</v>
      </c>
      <c r="O1638" s="153">
        <f>J1638/M1638</f>
        <v>7500</v>
      </c>
      <c r="Q1638" s="524">
        <f>1/M1638</f>
        <v>6.6666666666666666E-2</v>
      </c>
      <c r="T1638" s="431"/>
    </row>
    <row r="1639" spans="5:22">
      <c r="F1639" s="33" t="s">
        <v>26</v>
      </c>
      <c r="J1639" s="1549">
        <f>$J$1631</f>
        <v>330000</v>
      </c>
      <c r="K1639" s="1549"/>
      <c r="L1639" s="50" t="s">
        <v>443</v>
      </c>
      <c r="M1639" s="33">
        <f>U1631</f>
        <v>10</v>
      </c>
      <c r="N1639" s="33" t="s">
        <v>29</v>
      </c>
      <c r="O1639" s="153">
        <f>J1639/M1639</f>
        <v>33000</v>
      </c>
      <c r="Q1639" s="524">
        <f>1/M1639</f>
        <v>0.1</v>
      </c>
      <c r="T1639" s="431"/>
    </row>
    <row r="1640" spans="5:22">
      <c r="F1640" s="33" t="s">
        <v>32</v>
      </c>
      <c r="J1640" s="1549">
        <f>SUM(J1637:J1639)</f>
        <v>1075500</v>
      </c>
      <c r="K1640" s="1549"/>
      <c r="L1640" s="50" t="s">
        <v>443</v>
      </c>
      <c r="M1640" s="33">
        <f>J1640/O1640</f>
        <v>17.459415584415584</v>
      </c>
      <c r="N1640" s="33" t="s">
        <v>29</v>
      </c>
      <c r="O1640" s="153">
        <f>SUM(O1637:O1639)</f>
        <v>61600</v>
      </c>
      <c r="Q1640" s="524">
        <f>1/M1640</f>
        <v>5.7275685727568575E-2</v>
      </c>
      <c r="S1640" s="532"/>
      <c r="T1640" s="431"/>
    </row>
    <row r="1641" spans="5:22">
      <c r="T1641" s="431"/>
    </row>
    <row r="1642" spans="5:22">
      <c r="E1642" s="391" t="s">
        <v>843</v>
      </c>
      <c r="J1642" s="154"/>
      <c r="K1642" s="525" t="s">
        <v>736</v>
      </c>
      <c r="L1642" s="289" t="s">
        <v>1054</v>
      </c>
      <c r="M1642" s="525" t="s">
        <v>450</v>
      </c>
      <c r="N1642" s="525" t="s">
        <v>63</v>
      </c>
      <c r="O1642" s="526" t="s">
        <v>843</v>
      </c>
      <c r="P1642" s="154"/>
      <c r="T1642" s="431"/>
    </row>
    <row r="1643" spans="5:22">
      <c r="F1643" s="33" t="s">
        <v>32</v>
      </c>
      <c r="J1643" s="1549">
        <f>J1640</f>
        <v>1075500</v>
      </c>
      <c r="K1643" s="1549"/>
      <c r="L1643" s="527" t="s">
        <v>1054</v>
      </c>
      <c r="M1643" s="528">
        <f>U1633</f>
        <v>0.05</v>
      </c>
      <c r="N1643" s="50" t="s">
        <v>63</v>
      </c>
      <c r="O1643" s="153">
        <f>J1643/2*M1643</f>
        <v>26887.5</v>
      </c>
      <c r="P1643" s="33" t="s">
        <v>30</v>
      </c>
      <c r="S1643" s="431"/>
      <c r="T1643" s="431"/>
    </row>
    <row r="1644" spans="5:22">
      <c r="T1644" s="431"/>
    </row>
    <row r="1645" spans="5:22">
      <c r="E1645" s="391" t="s">
        <v>31</v>
      </c>
      <c r="J1645" s="154"/>
      <c r="K1645" s="525" t="s">
        <v>736</v>
      </c>
      <c r="L1645" s="525" t="s">
        <v>267</v>
      </c>
      <c r="M1645" s="525" t="s">
        <v>403</v>
      </c>
      <c r="N1645" s="525" t="s">
        <v>63</v>
      </c>
      <c r="O1645" s="526" t="s">
        <v>33</v>
      </c>
      <c r="P1645" s="154"/>
      <c r="Q1645" s="154"/>
      <c r="T1645" s="431"/>
    </row>
    <row r="1646" spans="5:22">
      <c r="F1646" s="33" t="s">
        <v>25</v>
      </c>
      <c r="J1646" s="1549">
        <f>$J$1629</f>
        <v>633000</v>
      </c>
      <c r="K1646" s="1549"/>
      <c r="L1646" s="50" t="s">
        <v>267</v>
      </c>
      <c r="M1646" s="146">
        <f>V1629</f>
        <v>0.01</v>
      </c>
      <c r="N1646" s="50" t="s">
        <v>63</v>
      </c>
      <c r="O1646" s="153">
        <f>J1646*M1646</f>
        <v>6330</v>
      </c>
      <c r="P1646" s="33" t="s">
        <v>30</v>
      </c>
      <c r="T1646" s="431"/>
    </row>
    <row r="1647" spans="5:22">
      <c r="F1647" s="33" t="s">
        <v>24</v>
      </c>
      <c r="J1647" s="1549">
        <f>$J$1630</f>
        <v>112500</v>
      </c>
      <c r="K1647" s="1549"/>
      <c r="L1647" s="50" t="s">
        <v>267</v>
      </c>
      <c r="M1647" s="146">
        <f>V1630</f>
        <v>0.02</v>
      </c>
      <c r="N1647" s="50" t="s">
        <v>63</v>
      </c>
      <c r="O1647" s="153">
        <f>J1647*M1647</f>
        <v>2250</v>
      </c>
      <c r="P1647" s="33" t="s">
        <v>30</v>
      </c>
      <c r="T1647" s="431"/>
    </row>
    <row r="1648" spans="5:22">
      <c r="F1648" s="33" t="s">
        <v>26</v>
      </c>
      <c r="J1648" s="1549">
        <f>$J$1631</f>
        <v>330000</v>
      </c>
      <c r="K1648" s="1549"/>
      <c r="L1648" s="50" t="s">
        <v>267</v>
      </c>
      <c r="M1648" s="146">
        <f>V1631</f>
        <v>0.03</v>
      </c>
      <c r="N1648" s="50" t="s">
        <v>63</v>
      </c>
      <c r="O1648" s="153">
        <f>J1648*M1648</f>
        <v>9900</v>
      </c>
      <c r="P1648" s="33" t="s">
        <v>30</v>
      </c>
      <c r="T1648" s="431"/>
    </row>
    <row r="1649" spans="5:20">
      <c r="F1649" s="33" t="s">
        <v>32</v>
      </c>
      <c r="J1649" s="1549">
        <f>SUM(J1646:K1648)</f>
        <v>1075500</v>
      </c>
      <c r="K1649" s="1549"/>
      <c r="O1649" s="153">
        <f>SUM(O1646:O1648)</f>
        <v>18480</v>
      </c>
      <c r="P1649" s="33" t="s">
        <v>30</v>
      </c>
      <c r="T1649" s="431"/>
    </row>
    <row r="1650" spans="5:20">
      <c r="T1650" s="431"/>
    </row>
    <row r="1651" spans="5:20">
      <c r="E1651" s="391" t="s">
        <v>94</v>
      </c>
      <c r="J1651" s="154"/>
      <c r="K1651" s="525" t="s">
        <v>736</v>
      </c>
      <c r="L1651" s="525" t="s">
        <v>267</v>
      </c>
      <c r="M1651" s="525" t="s">
        <v>403</v>
      </c>
      <c r="N1651" s="525" t="s">
        <v>63</v>
      </c>
      <c r="O1651" s="526" t="s">
        <v>1127</v>
      </c>
      <c r="P1651" s="154"/>
      <c r="Q1651" s="154"/>
      <c r="T1651" s="431"/>
    </row>
    <row r="1652" spans="5:20">
      <c r="F1652" s="33" t="s">
        <v>32</v>
      </c>
      <c r="J1652" s="1549">
        <f>J1632</f>
        <v>1075500</v>
      </c>
      <c r="K1652" s="1549"/>
      <c r="L1652" s="50" t="s">
        <v>267</v>
      </c>
      <c r="M1652" s="523">
        <f>U1634</f>
        <v>2E-3</v>
      </c>
      <c r="O1652" s="153">
        <f>J1652*M1652</f>
        <v>2151</v>
      </c>
      <c r="P1652" s="33" t="s">
        <v>30</v>
      </c>
      <c r="S1652" s="431"/>
      <c r="T1652" s="431"/>
    </row>
    <row r="1654" spans="5:20">
      <c r="E1654" s="173" t="s">
        <v>1047</v>
      </c>
      <c r="F1654" s="176"/>
      <c r="G1654" s="176"/>
      <c r="H1654" s="176"/>
      <c r="I1654" s="176"/>
      <c r="J1654" s="176"/>
      <c r="K1654" s="176"/>
      <c r="L1654" s="1134" t="s">
        <v>1250</v>
      </c>
      <c r="M1654" s="530"/>
      <c r="N1654" s="1582">
        <f>O1640+O1643+O1649+O1652</f>
        <v>109118.5</v>
      </c>
      <c r="O1654" s="1582"/>
      <c r="P1654" s="530" t="s">
        <v>30</v>
      </c>
      <c r="Q1654" s="531"/>
    </row>
    <row r="1655" spans="5:20">
      <c r="E1655" s="174"/>
      <c r="F1655" s="154"/>
      <c r="G1655" s="154"/>
      <c r="H1655" s="154"/>
      <c r="I1655" s="154"/>
      <c r="J1655" s="154"/>
      <c r="K1655" s="154"/>
      <c r="L1655" s="1135" t="s">
        <v>1251</v>
      </c>
      <c r="M1655" s="530"/>
      <c r="N1655" s="530"/>
      <c r="O1655" s="1136">
        <f>N1654/V1627</f>
        <v>879.98790322580646</v>
      </c>
      <c r="P1655" s="530" t="s">
        <v>30</v>
      </c>
      <c r="Q1655" s="531"/>
    </row>
    <row r="1656" spans="5:20">
      <c r="O1656" s="179"/>
    </row>
    <row r="1657" spans="5:20">
      <c r="E1657" s="98" t="s">
        <v>1359</v>
      </c>
    </row>
    <row r="1658" spans="5:20">
      <c r="E1658" s="1583">
        <f>$N$1654</f>
        <v>109118.5</v>
      </c>
      <c r="F1658" s="1583"/>
      <c r="G1658" s="98" t="s">
        <v>1360</v>
      </c>
      <c r="H1658" s="1560">
        <f>$J$1632</f>
        <v>1075500</v>
      </c>
      <c r="I1658" s="1560"/>
      <c r="J1658" s="98" t="s">
        <v>1361</v>
      </c>
      <c r="K1658" s="1190">
        <f>E1658/H1658*100</f>
        <v>10.145839144583913</v>
      </c>
      <c r="L1658" s="98" t="s">
        <v>1362</v>
      </c>
    </row>
    <row r="1660" spans="5:20">
      <c r="E1660" s="98" t="s">
        <v>1366</v>
      </c>
      <c r="O1660" s="179"/>
    </row>
    <row r="1661" spans="5:20">
      <c r="E1661" s="98" t="s">
        <v>1363</v>
      </c>
      <c r="O1661" s="179"/>
    </row>
  </sheetData>
  <mergeCells count="78">
    <mergeCell ref="N1654:O1654"/>
    <mergeCell ref="E1658:F1658"/>
    <mergeCell ref="P788:P789"/>
    <mergeCell ref="Q788:Q789"/>
    <mergeCell ref="M788:M789"/>
    <mergeCell ref="M1271:N1271"/>
    <mergeCell ref="M1272:N1272"/>
    <mergeCell ref="M1273:N1273"/>
    <mergeCell ref="O1273:P1273"/>
    <mergeCell ref="O1270:P1270"/>
    <mergeCell ref="O1271:P1271"/>
    <mergeCell ref="O1272:P1272"/>
    <mergeCell ref="N1186:O1186"/>
    <mergeCell ref="N1187:O1187"/>
    <mergeCell ref="N1188:O1188"/>
    <mergeCell ref="N1190:O1190"/>
    <mergeCell ref="L730:L731"/>
    <mergeCell ref="O780:O781"/>
    <mergeCell ref="P780:P781"/>
    <mergeCell ref="Q780:Q781"/>
    <mergeCell ref="L784:L785"/>
    <mergeCell ref="O784:O785"/>
    <mergeCell ref="P784:P785"/>
    <mergeCell ref="Q784:Q785"/>
    <mergeCell ref="N773:O773"/>
    <mergeCell ref="P773:Q773"/>
    <mergeCell ref="P730:P731"/>
    <mergeCell ref="Q730:Q731"/>
    <mergeCell ref="M1263:N1263"/>
    <mergeCell ref="N1240:O1240"/>
    <mergeCell ref="N1242:O1242"/>
    <mergeCell ref="N1243:O1243"/>
    <mergeCell ref="N1241:O1241"/>
    <mergeCell ref="M1261:N1261"/>
    <mergeCell ref="O1260:P1260"/>
    <mergeCell ref="O1261:P1261"/>
    <mergeCell ref="M1262:N1262"/>
    <mergeCell ref="O1262:P1262"/>
    <mergeCell ref="E551:E560"/>
    <mergeCell ref="J1632:K1632"/>
    <mergeCell ref="J1631:K1631"/>
    <mergeCell ref="J1630:K1630"/>
    <mergeCell ref="J1629:K1629"/>
    <mergeCell ref="J784:J785"/>
    <mergeCell ref="G784:G785"/>
    <mergeCell ref="H780:H781"/>
    <mergeCell ref="N1185:O1185"/>
    <mergeCell ref="H1658:I1658"/>
    <mergeCell ref="P667:Q667"/>
    <mergeCell ref="N719:O719"/>
    <mergeCell ref="P719:Q719"/>
    <mergeCell ref="J1652:K1652"/>
    <mergeCell ref="J1649:K1649"/>
    <mergeCell ref="J1643:K1643"/>
    <mergeCell ref="J1646:K1646"/>
    <mergeCell ref="J1647:K1647"/>
    <mergeCell ref="J1648:K1648"/>
    <mergeCell ref="J1637:K1637"/>
    <mergeCell ref="N1189:O1189"/>
    <mergeCell ref="J1638:K1638"/>
    <mergeCell ref="O1269:P1269"/>
    <mergeCell ref="M1264:N1264"/>
    <mergeCell ref="J1639:K1639"/>
    <mergeCell ref="J1640:K1640"/>
    <mergeCell ref="O1264:P1264"/>
    <mergeCell ref="N1191:O1191"/>
    <mergeCell ref="N1192:O1192"/>
    <mergeCell ref="M1265:N1265"/>
    <mergeCell ref="M1266:N1266"/>
    <mergeCell ref="M1267:N1267"/>
    <mergeCell ref="M1268:N1268"/>
    <mergeCell ref="M1269:N1269"/>
    <mergeCell ref="O1265:P1265"/>
    <mergeCell ref="O1266:P1266"/>
    <mergeCell ref="O1263:P1263"/>
    <mergeCell ref="O1267:P1267"/>
    <mergeCell ref="O1268:P1268"/>
    <mergeCell ref="M1270:N1270"/>
  </mergeCells>
  <phoneticPr fontId="5" type="noConversion"/>
  <pageMargins left="0.78740157480314965" right="0.78740157480314965" top="0.47244094488188981" bottom="0.55118110236220474" header="0.31496062992125984" footer="0.31496062992125984"/>
  <pageSetup paperSize="9" firstPageNumber="2" orientation="portrait" useFirstPageNumber="1" r:id="rId1"/>
  <headerFooter alignWithMargins="0">
    <oddFooter>&amp;L&amp;9Kosten des abnutzbaren Anlagevermögens&amp;R&amp;9&amp;P</oddFooter>
  </headerFooter>
  <rowBreaks count="28" manualBreakCount="28">
    <brk id="49" min="2" max="16" man="1"/>
    <brk id="100" min="2" max="16" man="1"/>
    <brk id="147" min="2" max="16" man="1"/>
    <brk id="415" min="2" max="16" man="1"/>
    <brk id="455" min="2" max="16" man="1"/>
    <brk id="100" min="2" max="16" man="1"/>
    <brk id="147" min="2" max="16" man="1"/>
    <brk id="309" min="2" max="16" man="1"/>
    <brk id="415" min="2" max="16" man="1"/>
    <brk id="509" min="2" max="16" man="1"/>
    <brk id="561" min="2" max="16" man="1"/>
    <brk id="603" min="2" max="16" man="1"/>
    <brk id="634" min="2" max="16" man="1"/>
    <brk id="685" min="2" max="16" man="1"/>
    <brk id="739" min="2" max="16" man="1"/>
    <brk id="792" min="2" max="16" man="1"/>
    <brk id="842" min="2" max="16" man="1"/>
    <brk id="883" min="2" max="16" man="1"/>
    <brk id="927" min="2" max="16" man="1"/>
    <brk id="974" min="2" max="16" man="1"/>
    <brk id="1080" min="2" max="16" man="1"/>
    <brk id="1178" min="2" max="16" man="1"/>
    <brk id="1227" min="2" max="16" man="1"/>
    <brk id="1275" min="2" max="16" man="1"/>
    <brk id="1328" min="2" max="16" man="1"/>
    <brk id="1428" min="2" max="16" man="1"/>
    <brk id="1512" min="2" max="16" man="1"/>
    <brk id="1607" min="2" max="16" man="1"/>
  </rowBreaks>
  <drawing r:id="rId2"/>
  <legacyDrawing r:id="rId3"/>
  <oleObjects>
    <mc:AlternateContent xmlns:mc="http://schemas.openxmlformats.org/markup-compatibility/2006">
      <mc:Choice Requires="x14">
        <oleObject progId="Equation.3" shapeId="3183" r:id="rId4">
          <objectPr defaultSize="0" autoPict="0" r:id="rId5">
            <anchor moveWithCells="1">
              <from>
                <xdr:col>5</xdr:col>
                <xdr:colOff>106680</xdr:colOff>
                <xdr:row>233</xdr:row>
                <xdr:rowOff>129540</xdr:rowOff>
              </from>
              <to>
                <xdr:col>9</xdr:col>
                <xdr:colOff>144780</xdr:colOff>
                <xdr:row>236</xdr:row>
                <xdr:rowOff>91440</xdr:rowOff>
              </to>
            </anchor>
          </objectPr>
        </oleObject>
      </mc:Choice>
      <mc:Fallback>
        <oleObject progId="Equation.3" shapeId="318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transitionEntry="1" codeName="Tabelle6">
    <pageSetUpPr fitToPage="1"/>
  </sheetPr>
  <dimension ref="A1:V57"/>
  <sheetViews>
    <sheetView showGridLines="0" zoomScale="85" workbookViewId="0"/>
  </sheetViews>
  <sheetFormatPr baseColWidth="10" defaultColWidth="9.5546875" defaultRowHeight="17.399999999999999"/>
  <cols>
    <col min="1" max="1" width="1.5546875" style="686" customWidth="1"/>
    <col min="2" max="2" width="14.21875" style="688" customWidth="1"/>
    <col min="3" max="3" width="4.44140625" style="688" customWidth="1"/>
    <col min="4" max="4" width="11.44140625" style="688" customWidth="1"/>
    <col min="5" max="5" width="6.5546875" style="688" customWidth="1"/>
    <col min="6" max="21" width="8.5546875" style="688" customWidth="1"/>
    <col min="22" max="22" width="2.5546875" style="688" customWidth="1"/>
    <col min="23" max="16384" width="9.5546875" style="688"/>
  </cols>
  <sheetData>
    <row r="1" spans="2:22">
      <c r="B1" s="1126" t="s">
        <v>1421</v>
      </c>
      <c r="F1" s="689"/>
    </row>
    <row r="2" spans="2:22" ht="18" thickBot="1">
      <c r="B2" s="690"/>
    </row>
    <row r="3" spans="2:22" ht="18" thickTop="1">
      <c r="B3" s="691" t="s">
        <v>1160</v>
      </c>
      <c r="C3" s="692"/>
      <c r="D3" s="692"/>
      <c r="E3" s="693" t="s">
        <v>27</v>
      </c>
      <c r="F3" s="694">
        <v>100000</v>
      </c>
      <c r="G3" s="695"/>
      <c r="H3" s="692" t="s">
        <v>1154</v>
      </c>
      <c r="I3" s="692"/>
      <c r="J3" s="692"/>
      <c r="K3" s="692"/>
      <c r="L3" s="696"/>
      <c r="M3" s="692"/>
      <c r="N3" s="697" t="s">
        <v>630</v>
      </c>
      <c r="O3" s="692"/>
      <c r="P3" s="692"/>
      <c r="Q3" s="692"/>
      <c r="R3" s="692"/>
      <c r="S3" s="692"/>
      <c r="T3" s="692"/>
      <c r="U3" s="698"/>
    </row>
    <row r="4" spans="2:22">
      <c r="B4" s="699" t="s">
        <v>1161</v>
      </c>
      <c r="C4" s="700"/>
      <c r="D4" s="700"/>
      <c r="E4" s="158" t="str">
        <f>E3</f>
        <v>€</v>
      </c>
      <c r="F4" s="702">
        <v>10000</v>
      </c>
      <c r="G4" s="703" t="s">
        <v>92</v>
      </c>
      <c r="I4" s="704" t="s">
        <v>1119</v>
      </c>
      <c r="J4" s="665" t="str">
        <f>$E$3&amp;"/Einh."</f>
        <v>€/Einh.</v>
      </c>
      <c r="K4" s="705" t="s">
        <v>1120</v>
      </c>
      <c r="L4" s="683" t="str">
        <f>$E$3&amp;"/"&amp;$E$6</f>
        <v>€/h</v>
      </c>
      <c r="N4" s="706" t="s">
        <v>1246</v>
      </c>
      <c r="U4" s="707"/>
    </row>
    <row r="5" spans="2:22">
      <c r="B5" s="699" t="s">
        <v>1162</v>
      </c>
      <c r="C5" s="700"/>
      <c r="D5" s="700"/>
      <c r="E5" s="701" t="s">
        <v>65</v>
      </c>
      <c r="F5" s="702">
        <v>12</v>
      </c>
      <c r="G5" s="703"/>
      <c r="H5" s="708" t="s">
        <v>1121</v>
      </c>
      <c r="I5" s="709" t="s">
        <v>1122</v>
      </c>
      <c r="J5" s="710">
        <v>0.8</v>
      </c>
      <c r="K5" s="710">
        <v>12</v>
      </c>
      <c r="L5" s="684">
        <f>K5*J5</f>
        <v>9.6000000000000014</v>
      </c>
      <c r="M5" s="711"/>
      <c r="N5" s="712" t="s">
        <v>631</v>
      </c>
      <c r="O5" s="711"/>
      <c r="P5" s="711"/>
      <c r="Q5" s="711"/>
      <c r="R5" s="711"/>
      <c r="S5" s="711"/>
      <c r="T5" s="711"/>
      <c r="U5" s="713"/>
    </row>
    <row r="6" spans="2:22">
      <c r="B6" s="699" t="s">
        <v>818</v>
      </c>
      <c r="C6" s="700"/>
      <c r="D6" s="700"/>
      <c r="E6" s="714" t="s">
        <v>64</v>
      </c>
      <c r="F6" s="702">
        <v>10000</v>
      </c>
      <c r="G6" s="703"/>
      <c r="H6" s="708" t="s">
        <v>1123</v>
      </c>
      <c r="I6" s="709" t="s">
        <v>1122</v>
      </c>
      <c r="J6" s="710">
        <v>3.3</v>
      </c>
      <c r="K6" s="1247">
        <f>K5*1%</f>
        <v>0.12</v>
      </c>
      <c r="L6" s="684">
        <f>K6*J6</f>
        <v>0.39599999999999996</v>
      </c>
      <c r="M6" s="711"/>
      <c r="N6" s="715" t="s">
        <v>632</v>
      </c>
      <c r="O6" s="711"/>
      <c r="P6" s="711"/>
      <c r="Q6" s="711"/>
      <c r="R6" s="711"/>
      <c r="S6" s="711"/>
      <c r="T6" s="711"/>
      <c r="U6" s="713"/>
    </row>
    <row r="7" spans="2:22">
      <c r="B7" s="716" t="s">
        <v>620</v>
      </c>
      <c r="C7" s="700"/>
      <c r="D7" s="700"/>
      <c r="E7" s="701" t="s">
        <v>1163</v>
      </c>
      <c r="F7" s="717">
        <v>0.03</v>
      </c>
      <c r="G7" s="718"/>
      <c r="H7" s="719" t="s">
        <v>1124</v>
      </c>
      <c r="I7" s="720"/>
      <c r="J7" s="721"/>
      <c r="K7" s="721"/>
      <c r="L7" s="685">
        <f>SUM(L5:L6)</f>
        <v>9.9960000000000022</v>
      </c>
      <c r="M7" s="711"/>
      <c r="N7" s="712" t="s">
        <v>633</v>
      </c>
      <c r="O7" s="711"/>
      <c r="P7" s="711"/>
      <c r="Q7" s="711"/>
      <c r="R7" s="711"/>
      <c r="S7" s="711"/>
      <c r="T7" s="711"/>
      <c r="U7" s="713"/>
    </row>
    <row r="8" spans="2:22">
      <c r="B8" s="716" t="s">
        <v>634</v>
      </c>
      <c r="E8" s="158" t="str">
        <f>E6&amp;"/Jahr"</f>
        <v>h/Jahr</v>
      </c>
      <c r="F8" s="159">
        <f>F6/F5</f>
        <v>833.33333333333337</v>
      </c>
      <c r="L8" s="722"/>
      <c r="U8" s="707"/>
    </row>
    <row r="9" spans="2:22">
      <c r="B9" s="723" t="s">
        <v>1125</v>
      </c>
      <c r="C9" s="724"/>
      <c r="D9" s="725">
        <v>50</v>
      </c>
      <c r="E9" s="666" t="str">
        <f>$E$6</f>
        <v>h</v>
      </c>
      <c r="F9" s="726">
        <v>250</v>
      </c>
      <c r="G9" s="667">
        <f>F9+$D$9</f>
        <v>300</v>
      </c>
      <c r="H9" s="667">
        <f t="shared" ref="H9:U9" si="0">G9+$D$9</f>
        <v>350</v>
      </c>
      <c r="I9" s="667">
        <f t="shared" si="0"/>
        <v>400</v>
      </c>
      <c r="J9" s="667">
        <f t="shared" si="0"/>
        <v>450</v>
      </c>
      <c r="K9" s="667">
        <f t="shared" si="0"/>
        <v>500</v>
      </c>
      <c r="L9" s="667">
        <f t="shared" si="0"/>
        <v>550</v>
      </c>
      <c r="M9" s="667">
        <f t="shared" si="0"/>
        <v>600</v>
      </c>
      <c r="N9" s="667">
        <f t="shared" si="0"/>
        <v>650</v>
      </c>
      <c r="O9" s="667">
        <f t="shared" si="0"/>
        <v>700</v>
      </c>
      <c r="P9" s="667">
        <f t="shared" si="0"/>
        <v>750</v>
      </c>
      <c r="Q9" s="667">
        <f t="shared" si="0"/>
        <v>800</v>
      </c>
      <c r="R9" s="667">
        <f t="shared" si="0"/>
        <v>850</v>
      </c>
      <c r="S9" s="667">
        <f t="shared" si="0"/>
        <v>900</v>
      </c>
      <c r="T9" s="667">
        <f t="shared" si="0"/>
        <v>950</v>
      </c>
      <c r="U9" s="668">
        <f t="shared" si="0"/>
        <v>1000</v>
      </c>
    </row>
    <row r="10" spans="2:22">
      <c r="B10" s="716" t="s">
        <v>361</v>
      </c>
      <c r="C10" s="727"/>
      <c r="D10" s="727"/>
      <c r="E10" s="701"/>
      <c r="F10" s="669">
        <f t="shared" ref="F10:U10" si="1">F9/$F$8</f>
        <v>0.3</v>
      </c>
      <c r="G10" s="669">
        <f t="shared" si="1"/>
        <v>0.36</v>
      </c>
      <c r="H10" s="669">
        <f t="shared" si="1"/>
        <v>0.42</v>
      </c>
      <c r="I10" s="669">
        <f t="shared" si="1"/>
        <v>0.48</v>
      </c>
      <c r="J10" s="669">
        <f t="shared" si="1"/>
        <v>0.53999999999999992</v>
      </c>
      <c r="K10" s="669">
        <f t="shared" si="1"/>
        <v>0.6</v>
      </c>
      <c r="L10" s="669">
        <f t="shared" si="1"/>
        <v>0.65999999999999992</v>
      </c>
      <c r="M10" s="669">
        <f t="shared" si="1"/>
        <v>0.72</v>
      </c>
      <c r="N10" s="669">
        <f t="shared" si="1"/>
        <v>0.77999999999999992</v>
      </c>
      <c r="O10" s="669">
        <f t="shared" si="1"/>
        <v>0.84</v>
      </c>
      <c r="P10" s="669">
        <f t="shared" si="1"/>
        <v>0.89999999999999991</v>
      </c>
      <c r="Q10" s="669">
        <f t="shared" si="1"/>
        <v>0.96</v>
      </c>
      <c r="R10" s="669">
        <f t="shared" si="1"/>
        <v>1.02</v>
      </c>
      <c r="S10" s="669">
        <f t="shared" si="1"/>
        <v>1.0799999999999998</v>
      </c>
      <c r="T10" s="669">
        <f t="shared" si="1"/>
        <v>1.1399999999999999</v>
      </c>
      <c r="U10" s="670">
        <f t="shared" si="1"/>
        <v>1.2</v>
      </c>
    </row>
    <row r="11" spans="2:22" ht="18" thickBot="1">
      <c r="B11" s="774" t="s">
        <v>362</v>
      </c>
      <c r="C11" s="775"/>
      <c r="D11" s="776" t="s">
        <v>611</v>
      </c>
      <c r="E11" s="777">
        <v>0.5</v>
      </c>
      <c r="F11" s="780">
        <f>IF(F10&gt;=1,1,F10^$E$11)</f>
        <v>0.54772255750516607</v>
      </c>
      <c r="G11" s="780">
        <f t="shared" ref="G11:U11" si="2">IF(G10&gt;=1,1,G10^$E$11)</f>
        <v>0.6</v>
      </c>
      <c r="H11" s="780">
        <f t="shared" si="2"/>
        <v>0.64807406984078597</v>
      </c>
      <c r="I11" s="780">
        <f t="shared" si="2"/>
        <v>0.69282032302755092</v>
      </c>
      <c r="J11" s="780">
        <f t="shared" si="2"/>
        <v>0.73484692283495334</v>
      </c>
      <c r="K11" s="780">
        <f t="shared" si="2"/>
        <v>0.7745966692414834</v>
      </c>
      <c r="L11" s="780">
        <f t="shared" si="2"/>
        <v>0.81240384046359604</v>
      </c>
      <c r="M11" s="780">
        <f t="shared" si="2"/>
        <v>0.84852813742385702</v>
      </c>
      <c r="N11" s="780">
        <f t="shared" si="2"/>
        <v>0.88317608663278468</v>
      </c>
      <c r="O11" s="780">
        <f t="shared" si="2"/>
        <v>0.91651513899116799</v>
      </c>
      <c r="P11" s="780">
        <f t="shared" si="2"/>
        <v>0.94868329805051377</v>
      </c>
      <c r="Q11" s="780">
        <f t="shared" si="2"/>
        <v>0.9797958971132712</v>
      </c>
      <c r="R11" s="780">
        <f t="shared" si="2"/>
        <v>1</v>
      </c>
      <c r="S11" s="780">
        <f t="shared" si="2"/>
        <v>1</v>
      </c>
      <c r="T11" s="780">
        <f t="shared" si="2"/>
        <v>1</v>
      </c>
      <c r="U11" s="781">
        <f t="shared" si="2"/>
        <v>1</v>
      </c>
    </row>
    <row r="12" spans="2:22" ht="18" thickTop="1">
      <c r="B12" s="716"/>
      <c r="C12" s="727"/>
      <c r="D12" s="727"/>
      <c r="E12" s="701"/>
      <c r="F12" s="728"/>
      <c r="G12" s="728"/>
      <c r="H12" s="728"/>
      <c r="I12" s="728"/>
      <c r="J12" s="728"/>
      <c r="K12" s="728"/>
      <c r="L12" s="728"/>
      <c r="M12" s="728"/>
      <c r="N12" s="728"/>
      <c r="O12" s="728"/>
      <c r="P12" s="728"/>
      <c r="Q12" s="728"/>
      <c r="R12" s="728"/>
      <c r="S12" s="728"/>
      <c r="T12" s="728"/>
      <c r="U12" s="729"/>
    </row>
    <row r="13" spans="2:22">
      <c r="B13" s="730" t="s">
        <v>1167</v>
      </c>
      <c r="E13" s="701" t="s">
        <v>92</v>
      </c>
      <c r="F13" s="722"/>
      <c r="G13" s="722"/>
      <c r="H13" s="722"/>
      <c r="I13" s="722"/>
      <c r="J13" s="722"/>
      <c r="K13" s="722"/>
      <c r="L13" s="722"/>
      <c r="M13" s="722"/>
      <c r="N13" s="722"/>
      <c r="O13" s="722"/>
      <c r="P13" s="722"/>
      <c r="Q13" s="722"/>
      <c r="R13" s="722"/>
      <c r="S13" s="722"/>
      <c r="T13" s="722"/>
      <c r="U13" s="707"/>
    </row>
    <row r="14" spans="2:22">
      <c r="B14" s="731" t="s">
        <v>622</v>
      </c>
      <c r="D14" s="732" t="s">
        <v>363</v>
      </c>
      <c r="E14" s="158" t="str">
        <f>$E$3&amp;"/J"</f>
        <v>€/J</v>
      </c>
      <c r="F14" s="677">
        <f t="shared" ref="F14:U14" si="3">IF(F9&lt;=$F$8,($F$3-$F$4)/$F$5,0)</f>
        <v>7500</v>
      </c>
      <c r="G14" s="677">
        <f t="shared" si="3"/>
        <v>7500</v>
      </c>
      <c r="H14" s="677">
        <f t="shared" si="3"/>
        <v>7500</v>
      </c>
      <c r="I14" s="677">
        <f t="shared" si="3"/>
        <v>7500</v>
      </c>
      <c r="J14" s="677">
        <f t="shared" si="3"/>
        <v>7500</v>
      </c>
      <c r="K14" s="677">
        <f t="shared" si="3"/>
        <v>7500</v>
      </c>
      <c r="L14" s="677">
        <f t="shared" si="3"/>
        <v>7500</v>
      </c>
      <c r="M14" s="677">
        <f t="shared" si="3"/>
        <v>7500</v>
      </c>
      <c r="N14" s="677">
        <f t="shared" si="3"/>
        <v>7500</v>
      </c>
      <c r="O14" s="677">
        <f t="shared" si="3"/>
        <v>7500</v>
      </c>
      <c r="P14" s="677">
        <f t="shared" si="3"/>
        <v>7500</v>
      </c>
      <c r="Q14" s="677">
        <f t="shared" si="3"/>
        <v>7500</v>
      </c>
      <c r="R14" s="677">
        <f t="shared" si="3"/>
        <v>0</v>
      </c>
      <c r="S14" s="677">
        <f t="shared" si="3"/>
        <v>0</v>
      </c>
      <c r="T14" s="677">
        <f t="shared" si="3"/>
        <v>0</v>
      </c>
      <c r="U14" s="678">
        <f t="shared" si="3"/>
        <v>0</v>
      </c>
      <c r="V14" s="733"/>
    </row>
    <row r="15" spans="2:22">
      <c r="B15" s="755"/>
      <c r="C15" s="756"/>
      <c r="D15" s="756"/>
      <c r="E15" s="757" t="str">
        <f>$E$3&amp;"/"&amp;$E$6</f>
        <v>€/h</v>
      </c>
      <c r="F15" s="758">
        <f t="shared" ref="F15:U15" si="4">F14/F9</f>
        <v>30</v>
      </c>
      <c r="G15" s="758">
        <f t="shared" si="4"/>
        <v>25</v>
      </c>
      <c r="H15" s="758">
        <f t="shared" si="4"/>
        <v>21.428571428571427</v>
      </c>
      <c r="I15" s="758">
        <f t="shared" si="4"/>
        <v>18.75</v>
      </c>
      <c r="J15" s="758">
        <f t="shared" si="4"/>
        <v>16.666666666666668</v>
      </c>
      <c r="K15" s="758">
        <f t="shared" si="4"/>
        <v>15</v>
      </c>
      <c r="L15" s="758">
        <f t="shared" si="4"/>
        <v>13.636363636363637</v>
      </c>
      <c r="M15" s="758">
        <f t="shared" si="4"/>
        <v>12.5</v>
      </c>
      <c r="N15" s="758">
        <f t="shared" si="4"/>
        <v>11.538461538461538</v>
      </c>
      <c r="O15" s="758">
        <f t="shared" si="4"/>
        <v>10.714285714285714</v>
      </c>
      <c r="P15" s="758">
        <f t="shared" si="4"/>
        <v>10</v>
      </c>
      <c r="Q15" s="758">
        <f t="shared" si="4"/>
        <v>9.375</v>
      </c>
      <c r="R15" s="758">
        <f t="shared" si="4"/>
        <v>0</v>
      </c>
      <c r="S15" s="758">
        <f t="shared" si="4"/>
        <v>0</v>
      </c>
      <c r="T15" s="758">
        <f t="shared" si="4"/>
        <v>0</v>
      </c>
      <c r="U15" s="759">
        <f t="shared" si="4"/>
        <v>0</v>
      </c>
      <c r="V15" s="733"/>
    </row>
    <row r="16" spans="2:22">
      <c r="B16" s="699" t="s">
        <v>843</v>
      </c>
      <c r="C16" s="733"/>
      <c r="D16" s="735" t="s">
        <v>621</v>
      </c>
      <c r="E16" s="158" t="str">
        <f>$E$3&amp;"/J"</f>
        <v>€/J</v>
      </c>
      <c r="F16" s="677">
        <f>$F$7*($F$3+$F$4)/2</f>
        <v>1650</v>
      </c>
      <c r="G16" s="677">
        <f t="shared" ref="G16:U16" si="5">$F$7*($F$3+$F$4)/2</f>
        <v>1650</v>
      </c>
      <c r="H16" s="677">
        <f t="shared" si="5"/>
        <v>1650</v>
      </c>
      <c r="I16" s="677">
        <f t="shared" si="5"/>
        <v>1650</v>
      </c>
      <c r="J16" s="677">
        <f t="shared" si="5"/>
        <v>1650</v>
      </c>
      <c r="K16" s="677">
        <f t="shared" si="5"/>
        <v>1650</v>
      </c>
      <c r="L16" s="677">
        <f t="shared" si="5"/>
        <v>1650</v>
      </c>
      <c r="M16" s="677">
        <f t="shared" si="5"/>
        <v>1650</v>
      </c>
      <c r="N16" s="677">
        <f t="shared" si="5"/>
        <v>1650</v>
      </c>
      <c r="O16" s="677">
        <f t="shared" si="5"/>
        <v>1650</v>
      </c>
      <c r="P16" s="677">
        <f t="shared" si="5"/>
        <v>1650</v>
      </c>
      <c r="Q16" s="677">
        <f t="shared" si="5"/>
        <v>1650</v>
      </c>
      <c r="R16" s="677">
        <f t="shared" si="5"/>
        <v>1650</v>
      </c>
      <c r="S16" s="677">
        <f t="shared" si="5"/>
        <v>1650</v>
      </c>
      <c r="T16" s="677">
        <f t="shared" si="5"/>
        <v>1650</v>
      </c>
      <c r="U16" s="678">
        <f t="shared" si="5"/>
        <v>1650</v>
      </c>
      <c r="V16" s="733"/>
    </row>
    <row r="17" spans="1:22">
      <c r="B17" s="760"/>
      <c r="C17" s="761"/>
      <c r="D17" s="756"/>
      <c r="E17" s="757" t="str">
        <f>$E$3&amp;"/"&amp;$E$6</f>
        <v>€/h</v>
      </c>
      <c r="F17" s="758">
        <f t="shared" ref="F17:U17" si="6">F16/F9</f>
        <v>6.6</v>
      </c>
      <c r="G17" s="758">
        <f t="shared" si="6"/>
        <v>5.5</v>
      </c>
      <c r="H17" s="758">
        <f t="shared" si="6"/>
        <v>4.7142857142857144</v>
      </c>
      <c r="I17" s="758">
        <f t="shared" si="6"/>
        <v>4.125</v>
      </c>
      <c r="J17" s="758">
        <f t="shared" si="6"/>
        <v>3.6666666666666665</v>
      </c>
      <c r="K17" s="758">
        <f t="shared" si="6"/>
        <v>3.3</v>
      </c>
      <c r="L17" s="758">
        <f t="shared" si="6"/>
        <v>3</v>
      </c>
      <c r="M17" s="758">
        <f t="shared" si="6"/>
        <v>2.75</v>
      </c>
      <c r="N17" s="758">
        <f t="shared" si="6"/>
        <v>2.5384615384615383</v>
      </c>
      <c r="O17" s="758">
        <f t="shared" si="6"/>
        <v>2.3571428571428572</v>
      </c>
      <c r="P17" s="758">
        <f t="shared" si="6"/>
        <v>2.2000000000000002</v>
      </c>
      <c r="Q17" s="758">
        <f t="shared" si="6"/>
        <v>2.0625</v>
      </c>
      <c r="R17" s="758">
        <f t="shared" si="6"/>
        <v>1.9411764705882353</v>
      </c>
      <c r="S17" s="758">
        <f t="shared" si="6"/>
        <v>1.8333333333333333</v>
      </c>
      <c r="T17" s="758">
        <f t="shared" si="6"/>
        <v>1.736842105263158</v>
      </c>
      <c r="U17" s="759">
        <f t="shared" si="6"/>
        <v>1.65</v>
      </c>
      <c r="V17" s="733"/>
    </row>
    <row r="18" spans="1:22">
      <c r="B18" s="699" t="s">
        <v>94</v>
      </c>
      <c r="D18" s="748">
        <f>0.65%*F3</f>
        <v>650.00000000000011</v>
      </c>
      <c r="E18" s="158" t="str">
        <f>$E$3&amp;"/J"</f>
        <v>€/J</v>
      </c>
      <c r="F18" s="677">
        <f>$D$18</f>
        <v>650.00000000000011</v>
      </c>
      <c r="G18" s="677">
        <f t="shared" ref="G18:U18" si="7">$D$18</f>
        <v>650.00000000000011</v>
      </c>
      <c r="H18" s="677">
        <f t="shared" si="7"/>
        <v>650.00000000000011</v>
      </c>
      <c r="I18" s="677">
        <f t="shared" si="7"/>
        <v>650.00000000000011</v>
      </c>
      <c r="J18" s="677">
        <f t="shared" si="7"/>
        <v>650.00000000000011</v>
      </c>
      <c r="K18" s="677">
        <f t="shared" si="7"/>
        <v>650.00000000000011</v>
      </c>
      <c r="L18" s="677">
        <f t="shared" si="7"/>
        <v>650.00000000000011</v>
      </c>
      <c r="M18" s="677">
        <f t="shared" si="7"/>
        <v>650.00000000000011</v>
      </c>
      <c r="N18" s="677">
        <f t="shared" si="7"/>
        <v>650.00000000000011</v>
      </c>
      <c r="O18" s="677">
        <f t="shared" si="7"/>
        <v>650.00000000000011</v>
      </c>
      <c r="P18" s="677">
        <f t="shared" si="7"/>
        <v>650.00000000000011</v>
      </c>
      <c r="Q18" s="677">
        <f t="shared" si="7"/>
        <v>650.00000000000011</v>
      </c>
      <c r="R18" s="677">
        <f t="shared" si="7"/>
        <v>650.00000000000011</v>
      </c>
      <c r="S18" s="677">
        <f t="shared" si="7"/>
        <v>650.00000000000011</v>
      </c>
      <c r="T18" s="677">
        <f t="shared" si="7"/>
        <v>650.00000000000011</v>
      </c>
      <c r="U18" s="678">
        <f t="shared" si="7"/>
        <v>650.00000000000011</v>
      </c>
      <c r="V18" s="733"/>
    </row>
    <row r="19" spans="1:22">
      <c r="B19" s="760"/>
      <c r="C19" s="756"/>
      <c r="D19" s="761"/>
      <c r="E19" s="757" t="str">
        <f>$E$3&amp;"/"&amp;$E$6</f>
        <v>€/h</v>
      </c>
      <c r="F19" s="758">
        <f t="shared" ref="F19:U19" si="8">F18/F9</f>
        <v>2.6000000000000005</v>
      </c>
      <c r="G19" s="758">
        <f t="shared" si="8"/>
        <v>2.166666666666667</v>
      </c>
      <c r="H19" s="758">
        <f t="shared" si="8"/>
        <v>1.8571428571428574</v>
      </c>
      <c r="I19" s="758">
        <f t="shared" si="8"/>
        <v>1.6250000000000002</v>
      </c>
      <c r="J19" s="758">
        <f t="shared" si="8"/>
        <v>1.4444444444444446</v>
      </c>
      <c r="K19" s="758">
        <f t="shared" si="8"/>
        <v>1.3000000000000003</v>
      </c>
      <c r="L19" s="758">
        <f t="shared" si="8"/>
        <v>1.1818181818181821</v>
      </c>
      <c r="M19" s="758">
        <f t="shared" si="8"/>
        <v>1.0833333333333335</v>
      </c>
      <c r="N19" s="758">
        <f t="shared" si="8"/>
        <v>1.0000000000000002</v>
      </c>
      <c r="O19" s="758">
        <f t="shared" si="8"/>
        <v>0.92857142857142871</v>
      </c>
      <c r="P19" s="758">
        <f t="shared" si="8"/>
        <v>0.86666666666666681</v>
      </c>
      <c r="Q19" s="758">
        <f t="shared" si="8"/>
        <v>0.81250000000000011</v>
      </c>
      <c r="R19" s="758">
        <f t="shared" si="8"/>
        <v>0.76470588235294135</v>
      </c>
      <c r="S19" s="758">
        <f t="shared" si="8"/>
        <v>0.72222222222222232</v>
      </c>
      <c r="T19" s="758">
        <f t="shared" si="8"/>
        <v>0.6842105263157896</v>
      </c>
      <c r="U19" s="759">
        <f t="shared" si="8"/>
        <v>0.65000000000000013</v>
      </c>
      <c r="V19" s="733"/>
    </row>
    <row r="20" spans="1:22">
      <c r="B20" s="699" t="s">
        <v>91</v>
      </c>
      <c r="D20" s="748">
        <f>F3*0.2%</f>
        <v>200</v>
      </c>
      <c r="E20" s="158" t="str">
        <f>$E$3&amp;"/J"</f>
        <v>€/J</v>
      </c>
      <c r="F20" s="677">
        <f>$D$20</f>
        <v>200</v>
      </c>
      <c r="G20" s="677">
        <f t="shared" ref="G20:U20" si="9">$D$20</f>
        <v>200</v>
      </c>
      <c r="H20" s="677">
        <f t="shared" si="9"/>
        <v>200</v>
      </c>
      <c r="I20" s="677">
        <f t="shared" si="9"/>
        <v>200</v>
      </c>
      <c r="J20" s="677">
        <f t="shared" si="9"/>
        <v>200</v>
      </c>
      <c r="K20" s="677">
        <f t="shared" si="9"/>
        <v>200</v>
      </c>
      <c r="L20" s="677">
        <f t="shared" si="9"/>
        <v>200</v>
      </c>
      <c r="M20" s="677">
        <f t="shared" si="9"/>
        <v>200</v>
      </c>
      <c r="N20" s="677">
        <f t="shared" si="9"/>
        <v>200</v>
      </c>
      <c r="O20" s="677">
        <f t="shared" si="9"/>
        <v>200</v>
      </c>
      <c r="P20" s="677">
        <f t="shared" si="9"/>
        <v>200</v>
      </c>
      <c r="Q20" s="677">
        <f t="shared" si="9"/>
        <v>200</v>
      </c>
      <c r="R20" s="677">
        <f t="shared" si="9"/>
        <v>200</v>
      </c>
      <c r="S20" s="677">
        <f t="shared" si="9"/>
        <v>200</v>
      </c>
      <c r="T20" s="677">
        <f t="shared" si="9"/>
        <v>200</v>
      </c>
      <c r="U20" s="678">
        <f t="shared" si="9"/>
        <v>200</v>
      </c>
      <c r="V20" s="733"/>
    </row>
    <row r="21" spans="1:22">
      <c r="B21" s="766"/>
      <c r="C21" s="767"/>
      <c r="D21" s="767"/>
      <c r="E21" s="768" t="str">
        <f>$E$3&amp;"/"&amp;$E$6</f>
        <v>€/h</v>
      </c>
      <c r="F21" s="769">
        <f t="shared" ref="F21:U21" si="10">F20/F9</f>
        <v>0.8</v>
      </c>
      <c r="G21" s="769">
        <f t="shared" si="10"/>
        <v>0.66666666666666663</v>
      </c>
      <c r="H21" s="769">
        <f t="shared" si="10"/>
        <v>0.5714285714285714</v>
      </c>
      <c r="I21" s="769">
        <f t="shared" si="10"/>
        <v>0.5</v>
      </c>
      <c r="J21" s="769">
        <f t="shared" si="10"/>
        <v>0.44444444444444442</v>
      </c>
      <c r="K21" s="769">
        <f t="shared" si="10"/>
        <v>0.4</v>
      </c>
      <c r="L21" s="769">
        <f t="shared" si="10"/>
        <v>0.36363636363636365</v>
      </c>
      <c r="M21" s="769">
        <f t="shared" si="10"/>
        <v>0.33333333333333331</v>
      </c>
      <c r="N21" s="769">
        <f t="shared" si="10"/>
        <v>0.30769230769230771</v>
      </c>
      <c r="O21" s="769">
        <f t="shared" si="10"/>
        <v>0.2857142857142857</v>
      </c>
      <c r="P21" s="769">
        <f t="shared" si="10"/>
        <v>0.26666666666666666</v>
      </c>
      <c r="Q21" s="769">
        <f t="shared" si="10"/>
        <v>0.25</v>
      </c>
      <c r="R21" s="769">
        <f t="shared" si="10"/>
        <v>0.23529411764705882</v>
      </c>
      <c r="S21" s="769">
        <f t="shared" si="10"/>
        <v>0.22222222222222221</v>
      </c>
      <c r="T21" s="769">
        <f t="shared" si="10"/>
        <v>0.21052631578947367</v>
      </c>
      <c r="U21" s="770">
        <f t="shared" si="10"/>
        <v>0.2</v>
      </c>
      <c r="V21" s="733"/>
    </row>
    <row r="22" spans="1:22">
      <c r="B22" s="737" t="s">
        <v>635</v>
      </c>
      <c r="C22" s="700"/>
      <c r="D22" s="700"/>
      <c r="E22" s="160" t="str">
        <f>$E$3&amp;"/J"</f>
        <v>€/J</v>
      </c>
      <c r="F22" s="679">
        <f t="shared" ref="F22:U23" si="11">F14+F16+F18+F20</f>
        <v>10000</v>
      </c>
      <c r="G22" s="679">
        <f t="shared" si="11"/>
        <v>10000</v>
      </c>
      <c r="H22" s="679">
        <f t="shared" si="11"/>
        <v>10000</v>
      </c>
      <c r="I22" s="679">
        <f t="shared" si="11"/>
        <v>10000</v>
      </c>
      <c r="J22" s="679">
        <f t="shared" si="11"/>
        <v>10000</v>
      </c>
      <c r="K22" s="679">
        <f t="shared" si="11"/>
        <v>10000</v>
      </c>
      <c r="L22" s="679">
        <f t="shared" si="11"/>
        <v>10000</v>
      </c>
      <c r="M22" s="679">
        <f t="shared" si="11"/>
        <v>10000</v>
      </c>
      <c r="N22" s="679">
        <f t="shared" si="11"/>
        <v>10000</v>
      </c>
      <c r="O22" s="679">
        <f t="shared" si="11"/>
        <v>10000</v>
      </c>
      <c r="P22" s="679">
        <f t="shared" si="11"/>
        <v>10000</v>
      </c>
      <c r="Q22" s="679">
        <f t="shared" si="11"/>
        <v>10000</v>
      </c>
      <c r="R22" s="679">
        <f t="shared" si="11"/>
        <v>2500</v>
      </c>
      <c r="S22" s="679">
        <f t="shared" si="11"/>
        <v>2500</v>
      </c>
      <c r="T22" s="679">
        <f t="shared" si="11"/>
        <v>2500</v>
      </c>
      <c r="U22" s="680">
        <f t="shared" si="11"/>
        <v>2500</v>
      </c>
      <c r="V22" s="733"/>
    </row>
    <row r="23" spans="1:22" ht="18" thickBot="1">
      <c r="B23" s="782"/>
      <c r="C23" s="775"/>
      <c r="D23" s="775"/>
      <c r="E23" s="783" t="str">
        <f>$E$3&amp;"/"&amp;$E$6</f>
        <v>€/h</v>
      </c>
      <c r="F23" s="784">
        <f t="shared" si="11"/>
        <v>40</v>
      </c>
      <c r="G23" s="784">
        <f t="shared" si="11"/>
        <v>33.333333333333329</v>
      </c>
      <c r="H23" s="784">
        <f t="shared" si="11"/>
        <v>28.571428571428573</v>
      </c>
      <c r="I23" s="784">
        <f t="shared" si="11"/>
        <v>25</v>
      </c>
      <c r="J23" s="784">
        <f t="shared" si="11"/>
        <v>22.222222222222221</v>
      </c>
      <c r="K23" s="784">
        <f t="shared" si="11"/>
        <v>20</v>
      </c>
      <c r="L23" s="784">
        <f t="shared" si="11"/>
        <v>18.181818181818183</v>
      </c>
      <c r="M23" s="784">
        <f t="shared" si="11"/>
        <v>16.666666666666664</v>
      </c>
      <c r="N23" s="784">
        <f t="shared" si="11"/>
        <v>15.384615384615385</v>
      </c>
      <c r="O23" s="784">
        <f t="shared" si="11"/>
        <v>14.285714285714286</v>
      </c>
      <c r="P23" s="784">
        <f t="shared" si="11"/>
        <v>13.333333333333334</v>
      </c>
      <c r="Q23" s="784">
        <f t="shared" si="11"/>
        <v>12.5</v>
      </c>
      <c r="R23" s="784">
        <f t="shared" si="11"/>
        <v>2.9411764705882355</v>
      </c>
      <c r="S23" s="784">
        <f t="shared" si="11"/>
        <v>2.7777777777777777</v>
      </c>
      <c r="T23" s="784">
        <f t="shared" si="11"/>
        <v>2.6315789473684212</v>
      </c>
      <c r="U23" s="785">
        <f t="shared" si="11"/>
        <v>2.5</v>
      </c>
      <c r="V23" s="733"/>
    </row>
    <row r="24" spans="1:22" ht="25.2" thickTop="1">
      <c r="A24" s="738"/>
      <c r="B24" s="730" t="s">
        <v>1170</v>
      </c>
      <c r="E24" s="722"/>
      <c r="F24" s="739" t="s">
        <v>92</v>
      </c>
      <c r="G24" s="739" t="s">
        <v>92</v>
      </c>
      <c r="H24" s="739" t="s">
        <v>92</v>
      </c>
      <c r="I24" s="739" t="s">
        <v>92</v>
      </c>
      <c r="J24" s="739" t="s">
        <v>92</v>
      </c>
      <c r="K24" s="739" t="s">
        <v>92</v>
      </c>
      <c r="L24" s="739" t="s">
        <v>92</v>
      </c>
      <c r="M24" s="739" t="s">
        <v>92</v>
      </c>
      <c r="N24" s="739" t="s">
        <v>92</v>
      </c>
      <c r="O24" s="739" t="s">
        <v>92</v>
      </c>
      <c r="P24" s="739" t="s">
        <v>92</v>
      </c>
      <c r="Q24" s="739" t="s">
        <v>92</v>
      </c>
      <c r="R24" s="739" t="s">
        <v>92</v>
      </c>
      <c r="S24" s="739" t="s">
        <v>92</v>
      </c>
      <c r="T24" s="739" t="s">
        <v>92</v>
      </c>
      <c r="U24" s="740" t="s">
        <v>92</v>
      </c>
      <c r="V24" s="733"/>
    </row>
    <row r="25" spans="1:22">
      <c r="B25" s="734" t="s">
        <v>623</v>
      </c>
      <c r="D25" s="732" t="s">
        <v>364</v>
      </c>
      <c r="E25" s="158" t="str">
        <f>$E$3&amp;"/"&amp;$E$6</f>
        <v>€/h</v>
      </c>
      <c r="F25" s="681">
        <f t="shared" ref="F25:U25" si="12">IF(F9&gt;$F$8,($F$3-$F$4)/$F$6,0)</f>
        <v>0</v>
      </c>
      <c r="G25" s="681">
        <f t="shared" si="12"/>
        <v>0</v>
      </c>
      <c r="H25" s="681">
        <f t="shared" si="12"/>
        <v>0</v>
      </c>
      <c r="I25" s="681">
        <f t="shared" si="12"/>
        <v>0</v>
      </c>
      <c r="J25" s="681">
        <f t="shared" si="12"/>
        <v>0</v>
      </c>
      <c r="K25" s="681">
        <f t="shared" si="12"/>
        <v>0</v>
      </c>
      <c r="L25" s="681">
        <f t="shared" si="12"/>
        <v>0</v>
      </c>
      <c r="M25" s="681">
        <f t="shared" si="12"/>
        <v>0</v>
      </c>
      <c r="N25" s="681">
        <f t="shared" si="12"/>
        <v>0</v>
      </c>
      <c r="O25" s="681">
        <f t="shared" si="12"/>
        <v>0</v>
      </c>
      <c r="P25" s="681">
        <f t="shared" si="12"/>
        <v>0</v>
      </c>
      <c r="Q25" s="681">
        <f t="shared" si="12"/>
        <v>0</v>
      </c>
      <c r="R25" s="681">
        <f t="shared" si="12"/>
        <v>9</v>
      </c>
      <c r="S25" s="681">
        <f t="shared" si="12"/>
        <v>9</v>
      </c>
      <c r="T25" s="681">
        <f t="shared" si="12"/>
        <v>9</v>
      </c>
      <c r="U25" s="682">
        <f t="shared" si="12"/>
        <v>9</v>
      </c>
      <c r="V25" s="733"/>
    </row>
    <row r="26" spans="1:22">
      <c r="B26" s="762"/>
      <c r="C26" s="756"/>
      <c r="D26" s="756"/>
      <c r="E26" s="757" t="str">
        <f>$E$3&amp;"/J"</f>
        <v>€/J</v>
      </c>
      <c r="F26" s="763">
        <f t="shared" ref="F26:U26" si="13">IF(F9&gt;$F$8,($F$3-$F$4)/$F$6*F9,0)</f>
        <v>0</v>
      </c>
      <c r="G26" s="763">
        <f t="shared" si="13"/>
        <v>0</v>
      </c>
      <c r="H26" s="763">
        <f t="shared" si="13"/>
        <v>0</v>
      </c>
      <c r="I26" s="763">
        <f t="shared" si="13"/>
        <v>0</v>
      </c>
      <c r="J26" s="763">
        <f t="shared" si="13"/>
        <v>0</v>
      </c>
      <c r="K26" s="763">
        <f t="shared" si="13"/>
        <v>0</v>
      </c>
      <c r="L26" s="763">
        <f t="shared" si="13"/>
        <v>0</v>
      </c>
      <c r="M26" s="763">
        <f t="shared" si="13"/>
        <v>0</v>
      </c>
      <c r="N26" s="763">
        <f t="shared" si="13"/>
        <v>0</v>
      </c>
      <c r="O26" s="763">
        <f t="shared" si="13"/>
        <v>0</v>
      </c>
      <c r="P26" s="763">
        <f t="shared" si="13"/>
        <v>0</v>
      </c>
      <c r="Q26" s="763">
        <f t="shared" si="13"/>
        <v>0</v>
      </c>
      <c r="R26" s="763">
        <f t="shared" si="13"/>
        <v>7650</v>
      </c>
      <c r="S26" s="763">
        <f t="shared" si="13"/>
        <v>8100</v>
      </c>
      <c r="T26" s="763">
        <f t="shared" si="13"/>
        <v>8550</v>
      </c>
      <c r="U26" s="764">
        <f t="shared" si="13"/>
        <v>9000</v>
      </c>
      <c r="V26" s="733"/>
    </row>
    <row r="27" spans="1:22">
      <c r="B27" s="736" t="s">
        <v>819</v>
      </c>
      <c r="D27" s="741">
        <v>7.8</v>
      </c>
      <c r="E27" s="158" t="str">
        <f>$E$3&amp;"/"&amp;$E$6</f>
        <v>€/h</v>
      </c>
      <c r="F27" s="681">
        <f t="shared" ref="F27:U27" si="14">$D$27*F11</f>
        <v>4.2722359485402954</v>
      </c>
      <c r="G27" s="681">
        <f t="shared" si="14"/>
        <v>4.68</v>
      </c>
      <c r="H27" s="681">
        <f t="shared" si="14"/>
        <v>5.0549777447581308</v>
      </c>
      <c r="I27" s="681">
        <f t="shared" si="14"/>
        <v>5.4039985196148974</v>
      </c>
      <c r="J27" s="681">
        <f t="shared" si="14"/>
        <v>5.7318059981126357</v>
      </c>
      <c r="K27" s="681">
        <f t="shared" si="14"/>
        <v>6.0418540200835702</v>
      </c>
      <c r="L27" s="681">
        <f t="shared" si="14"/>
        <v>6.3367499556160487</v>
      </c>
      <c r="M27" s="681">
        <f t="shared" si="14"/>
        <v>6.6185194719060849</v>
      </c>
      <c r="N27" s="681">
        <f t="shared" si="14"/>
        <v>6.8887734757357206</v>
      </c>
      <c r="O27" s="681">
        <f t="shared" si="14"/>
        <v>7.1488180841311104</v>
      </c>
      <c r="P27" s="681">
        <f t="shared" si="14"/>
        <v>7.3997297247940068</v>
      </c>
      <c r="Q27" s="681">
        <f t="shared" si="14"/>
        <v>7.6424079974835148</v>
      </c>
      <c r="R27" s="681">
        <f t="shared" si="14"/>
        <v>7.8</v>
      </c>
      <c r="S27" s="681">
        <f t="shared" si="14"/>
        <v>7.8</v>
      </c>
      <c r="T27" s="681">
        <f t="shared" si="14"/>
        <v>7.8</v>
      </c>
      <c r="U27" s="682">
        <f t="shared" si="14"/>
        <v>7.8</v>
      </c>
      <c r="V27" s="733"/>
    </row>
    <row r="28" spans="1:22">
      <c r="B28" s="762"/>
      <c r="C28" s="765" t="s">
        <v>92</v>
      </c>
      <c r="D28" s="756"/>
      <c r="E28" s="757" t="str">
        <f>$E$3&amp;"/J"</f>
        <v>€/J</v>
      </c>
      <c r="F28" s="763">
        <f t="shared" ref="F28:U28" si="15">F27*F9</f>
        <v>1068.0589871350739</v>
      </c>
      <c r="G28" s="763">
        <f t="shared" si="15"/>
        <v>1404</v>
      </c>
      <c r="H28" s="763">
        <f t="shared" si="15"/>
        <v>1769.2422106653457</v>
      </c>
      <c r="I28" s="763">
        <f t="shared" si="15"/>
        <v>2161.5994078459589</v>
      </c>
      <c r="J28" s="763">
        <f t="shared" si="15"/>
        <v>2579.3126991506861</v>
      </c>
      <c r="K28" s="763">
        <f t="shared" si="15"/>
        <v>3020.9270100417853</v>
      </c>
      <c r="L28" s="763">
        <f t="shared" si="15"/>
        <v>3485.2124755888267</v>
      </c>
      <c r="M28" s="763">
        <f t="shared" si="15"/>
        <v>3971.1116831436511</v>
      </c>
      <c r="N28" s="763">
        <f t="shared" si="15"/>
        <v>4477.7027592282184</v>
      </c>
      <c r="O28" s="763">
        <f t="shared" si="15"/>
        <v>5004.1726588917772</v>
      </c>
      <c r="P28" s="763">
        <f t="shared" si="15"/>
        <v>5549.7972935955049</v>
      </c>
      <c r="Q28" s="763">
        <f t="shared" si="15"/>
        <v>6113.9263979868119</v>
      </c>
      <c r="R28" s="763">
        <f t="shared" si="15"/>
        <v>6630</v>
      </c>
      <c r="S28" s="763">
        <f t="shared" si="15"/>
        <v>7020</v>
      </c>
      <c r="T28" s="763">
        <f t="shared" si="15"/>
        <v>7410</v>
      </c>
      <c r="U28" s="764">
        <f t="shared" si="15"/>
        <v>7800</v>
      </c>
      <c r="V28" s="733"/>
    </row>
    <row r="29" spans="1:22">
      <c r="B29" s="736" t="s">
        <v>1154</v>
      </c>
      <c r="D29" s="703" t="s">
        <v>92</v>
      </c>
      <c r="E29" s="158" t="str">
        <f>$E$3&amp;"/"&amp;$E$6</f>
        <v>€/h</v>
      </c>
      <c r="F29" s="681">
        <f t="shared" ref="F29:U29" si="16">$L$7</f>
        <v>9.9960000000000022</v>
      </c>
      <c r="G29" s="681">
        <f t="shared" si="16"/>
        <v>9.9960000000000022</v>
      </c>
      <c r="H29" s="681">
        <f t="shared" si="16"/>
        <v>9.9960000000000022</v>
      </c>
      <c r="I29" s="681">
        <f t="shared" si="16"/>
        <v>9.9960000000000022</v>
      </c>
      <c r="J29" s="681">
        <f t="shared" si="16"/>
        <v>9.9960000000000022</v>
      </c>
      <c r="K29" s="681">
        <f t="shared" si="16"/>
        <v>9.9960000000000022</v>
      </c>
      <c r="L29" s="681">
        <f t="shared" si="16"/>
        <v>9.9960000000000022</v>
      </c>
      <c r="M29" s="681">
        <f t="shared" si="16"/>
        <v>9.9960000000000022</v>
      </c>
      <c r="N29" s="681">
        <f t="shared" si="16"/>
        <v>9.9960000000000022</v>
      </c>
      <c r="O29" s="681">
        <f t="shared" si="16"/>
        <v>9.9960000000000022</v>
      </c>
      <c r="P29" s="681">
        <f t="shared" si="16"/>
        <v>9.9960000000000022</v>
      </c>
      <c r="Q29" s="681">
        <f t="shared" si="16"/>
        <v>9.9960000000000022</v>
      </c>
      <c r="R29" s="681">
        <f t="shared" si="16"/>
        <v>9.9960000000000022</v>
      </c>
      <c r="S29" s="681">
        <f t="shared" si="16"/>
        <v>9.9960000000000022</v>
      </c>
      <c r="T29" s="681">
        <f t="shared" si="16"/>
        <v>9.9960000000000022</v>
      </c>
      <c r="U29" s="682">
        <f t="shared" si="16"/>
        <v>9.9960000000000022</v>
      </c>
      <c r="V29" s="733"/>
    </row>
    <row r="30" spans="1:22">
      <c r="B30" s="771"/>
      <c r="C30" s="767"/>
      <c r="D30" s="767"/>
      <c r="E30" s="768" t="str">
        <f>$E$3&amp;"/J"</f>
        <v>€/J</v>
      </c>
      <c r="F30" s="772">
        <f t="shared" ref="F30:U30" si="17">F29*F9</f>
        <v>2499.0000000000005</v>
      </c>
      <c r="G30" s="772">
        <f t="shared" si="17"/>
        <v>2998.8000000000006</v>
      </c>
      <c r="H30" s="772">
        <f t="shared" si="17"/>
        <v>3498.6000000000008</v>
      </c>
      <c r="I30" s="772">
        <f t="shared" si="17"/>
        <v>3998.400000000001</v>
      </c>
      <c r="J30" s="772">
        <f t="shared" si="17"/>
        <v>4498.2000000000007</v>
      </c>
      <c r="K30" s="772">
        <f t="shared" si="17"/>
        <v>4998.0000000000009</v>
      </c>
      <c r="L30" s="772">
        <f t="shared" si="17"/>
        <v>5497.8000000000011</v>
      </c>
      <c r="M30" s="772">
        <f t="shared" si="17"/>
        <v>5997.6000000000013</v>
      </c>
      <c r="N30" s="772">
        <f t="shared" si="17"/>
        <v>6497.4000000000015</v>
      </c>
      <c r="O30" s="772">
        <f t="shared" si="17"/>
        <v>6997.2000000000016</v>
      </c>
      <c r="P30" s="772">
        <f t="shared" si="17"/>
        <v>7497.0000000000018</v>
      </c>
      <c r="Q30" s="772">
        <f t="shared" si="17"/>
        <v>7996.800000000002</v>
      </c>
      <c r="R30" s="772">
        <f t="shared" si="17"/>
        <v>8496.6000000000022</v>
      </c>
      <c r="S30" s="772">
        <f t="shared" si="17"/>
        <v>8996.4000000000015</v>
      </c>
      <c r="T30" s="772">
        <f t="shared" si="17"/>
        <v>9496.2000000000025</v>
      </c>
      <c r="U30" s="773">
        <f t="shared" si="17"/>
        <v>9996.0000000000018</v>
      </c>
      <c r="V30" s="733"/>
    </row>
    <row r="31" spans="1:22">
      <c r="B31" s="737" t="s">
        <v>636</v>
      </c>
      <c r="C31" s="700"/>
      <c r="D31" s="700"/>
      <c r="E31" s="160" t="str">
        <f>$E$3&amp;"/"&amp;$E$6</f>
        <v>€/h</v>
      </c>
      <c r="F31" s="673">
        <f t="shared" ref="F31:U32" si="18">F29+F27+F25</f>
        <v>14.268235948540298</v>
      </c>
      <c r="G31" s="673">
        <f t="shared" si="18"/>
        <v>14.676000000000002</v>
      </c>
      <c r="H31" s="673">
        <f t="shared" si="18"/>
        <v>15.050977744758132</v>
      </c>
      <c r="I31" s="673">
        <f t="shared" si="18"/>
        <v>15.399998519614901</v>
      </c>
      <c r="J31" s="673">
        <f t="shared" si="18"/>
        <v>15.727805998112638</v>
      </c>
      <c r="K31" s="673">
        <f t="shared" si="18"/>
        <v>16.037854020083572</v>
      </c>
      <c r="L31" s="673">
        <f t="shared" si="18"/>
        <v>16.332749955616052</v>
      </c>
      <c r="M31" s="673">
        <f t="shared" si="18"/>
        <v>16.614519471906085</v>
      </c>
      <c r="N31" s="673">
        <f t="shared" si="18"/>
        <v>16.884773475735724</v>
      </c>
      <c r="O31" s="673">
        <f t="shared" si="18"/>
        <v>17.144818084131114</v>
      </c>
      <c r="P31" s="673">
        <f t="shared" si="18"/>
        <v>17.395729724794009</v>
      </c>
      <c r="Q31" s="673">
        <f t="shared" si="18"/>
        <v>17.638407997483519</v>
      </c>
      <c r="R31" s="673">
        <f t="shared" si="18"/>
        <v>26.796000000000003</v>
      </c>
      <c r="S31" s="673">
        <f t="shared" si="18"/>
        <v>26.796000000000003</v>
      </c>
      <c r="T31" s="673">
        <f t="shared" si="18"/>
        <v>26.796000000000003</v>
      </c>
      <c r="U31" s="674">
        <f t="shared" si="18"/>
        <v>26.796000000000003</v>
      </c>
      <c r="V31" s="733"/>
    </row>
    <row r="32" spans="1:22" ht="18" thickBot="1">
      <c r="B32" s="782"/>
      <c r="C32" s="775"/>
      <c r="D32" s="775"/>
      <c r="E32" s="783" t="str">
        <f>$E$3&amp;"/J"</f>
        <v>€/J</v>
      </c>
      <c r="F32" s="786">
        <f t="shared" si="18"/>
        <v>3567.0589871350744</v>
      </c>
      <c r="G32" s="786">
        <f t="shared" si="18"/>
        <v>4402.8000000000011</v>
      </c>
      <c r="H32" s="786">
        <f t="shared" si="18"/>
        <v>5267.842210665347</v>
      </c>
      <c r="I32" s="786">
        <f t="shared" si="18"/>
        <v>6159.9994078459604</v>
      </c>
      <c r="J32" s="786">
        <f t="shared" si="18"/>
        <v>7077.5126991506868</v>
      </c>
      <c r="K32" s="786">
        <f t="shared" si="18"/>
        <v>8018.9270100417862</v>
      </c>
      <c r="L32" s="786">
        <f t="shared" si="18"/>
        <v>8983.0124755888282</v>
      </c>
      <c r="M32" s="786">
        <f t="shared" si="18"/>
        <v>9968.7116831436524</v>
      </c>
      <c r="N32" s="786">
        <f t="shared" si="18"/>
        <v>10975.102759228219</v>
      </c>
      <c r="O32" s="786">
        <f t="shared" si="18"/>
        <v>12001.372658891778</v>
      </c>
      <c r="P32" s="786">
        <f t="shared" si="18"/>
        <v>13046.797293595508</v>
      </c>
      <c r="Q32" s="786">
        <f t="shared" si="18"/>
        <v>14110.726397986815</v>
      </c>
      <c r="R32" s="786">
        <f t="shared" si="18"/>
        <v>22776.600000000002</v>
      </c>
      <c r="S32" s="786">
        <f t="shared" si="18"/>
        <v>24116.400000000001</v>
      </c>
      <c r="T32" s="786">
        <f t="shared" si="18"/>
        <v>25456.200000000004</v>
      </c>
      <c r="U32" s="787">
        <f t="shared" si="18"/>
        <v>26796</v>
      </c>
      <c r="V32" s="733"/>
    </row>
    <row r="33" spans="1:22" ht="25.2" thickTop="1">
      <c r="A33" s="738"/>
      <c r="B33" s="730" t="s">
        <v>1126</v>
      </c>
      <c r="E33" s="722"/>
      <c r="F33" s="742"/>
      <c r="G33" s="742"/>
      <c r="H33" s="742"/>
      <c r="I33" s="742"/>
      <c r="J33" s="742"/>
      <c r="K33" s="742"/>
      <c r="L33" s="742"/>
      <c r="M33" s="742"/>
      <c r="N33" s="742"/>
      <c r="O33" s="742"/>
      <c r="P33" s="742"/>
      <c r="Q33" s="742"/>
      <c r="R33" s="742"/>
      <c r="S33" s="742"/>
      <c r="T33" s="742"/>
      <c r="U33" s="743"/>
      <c r="V33" s="733"/>
    </row>
    <row r="34" spans="1:22">
      <c r="B34" s="737" t="s">
        <v>639</v>
      </c>
      <c r="C34" s="788"/>
      <c r="D34" s="790" t="s">
        <v>638</v>
      </c>
      <c r="E34" s="160" t="str">
        <f>$E$3&amp;"/J"</f>
        <v>€/J</v>
      </c>
      <c r="F34" s="679">
        <f t="shared" ref="F34:U34" si="19">F32+F22</f>
        <v>13567.058987135075</v>
      </c>
      <c r="G34" s="679">
        <f t="shared" si="19"/>
        <v>14402.800000000001</v>
      </c>
      <c r="H34" s="679">
        <f t="shared" si="19"/>
        <v>15267.842210665347</v>
      </c>
      <c r="I34" s="679">
        <f t="shared" si="19"/>
        <v>16159.99940784596</v>
      </c>
      <c r="J34" s="679">
        <f t="shared" si="19"/>
        <v>17077.512699150688</v>
      </c>
      <c r="K34" s="679">
        <f t="shared" si="19"/>
        <v>18018.927010041785</v>
      </c>
      <c r="L34" s="679">
        <f t="shared" si="19"/>
        <v>18983.012475588828</v>
      </c>
      <c r="M34" s="679">
        <f t="shared" si="19"/>
        <v>19968.711683143651</v>
      </c>
      <c r="N34" s="679">
        <f t="shared" si="19"/>
        <v>20975.102759228219</v>
      </c>
      <c r="O34" s="679">
        <f t="shared" si="19"/>
        <v>22001.372658891778</v>
      </c>
      <c r="P34" s="679">
        <f t="shared" si="19"/>
        <v>23046.797293595508</v>
      </c>
      <c r="Q34" s="679">
        <f t="shared" si="19"/>
        <v>24110.726397986815</v>
      </c>
      <c r="R34" s="679">
        <f t="shared" si="19"/>
        <v>25276.600000000002</v>
      </c>
      <c r="S34" s="679">
        <f t="shared" si="19"/>
        <v>26616.400000000001</v>
      </c>
      <c r="T34" s="679">
        <f t="shared" si="19"/>
        <v>27956.200000000004</v>
      </c>
      <c r="U34" s="680">
        <f t="shared" si="19"/>
        <v>29296</v>
      </c>
      <c r="V34" s="733"/>
    </row>
    <row r="35" spans="1:22" ht="18" thickBot="1">
      <c r="B35" s="744" t="s">
        <v>639</v>
      </c>
      <c r="C35" s="789"/>
      <c r="D35" s="791" t="str">
        <f>"je "&amp;E6</f>
        <v>je h</v>
      </c>
      <c r="E35" s="161" t="str">
        <f>$E$3&amp;"/"&amp;$E$6</f>
        <v>€/h</v>
      </c>
      <c r="F35" s="675">
        <f t="shared" ref="F35:U35" si="20">F31+F23</f>
        <v>54.268235948540294</v>
      </c>
      <c r="G35" s="675">
        <f t="shared" si="20"/>
        <v>48.009333333333331</v>
      </c>
      <c r="H35" s="675">
        <f t="shared" si="20"/>
        <v>43.622406316186705</v>
      </c>
      <c r="I35" s="675">
        <f t="shared" si="20"/>
        <v>40.399998519614897</v>
      </c>
      <c r="J35" s="675">
        <f t="shared" si="20"/>
        <v>37.950028220334858</v>
      </c>
      <c r="K35" s="675">
        <f t="shared" si="20"/>
        <v>36.037854020083572</v>
      </c>
      <c r="L35" s="675">
        <f t="shared" si="20"/>
        <v>34.514568137434239</v>
      </c>
      <c r="M35" s="675">
        <f t="shared" si="20"/>
        <v>33.28118613857275</v>
      </c>
      <c r="N35" s="675">
        <f t="shared" si="20"/>
        <v>32.269388860351107</v>
      </c>
      <c r="O35" s="675">
        <f t="shared" si="20"/>
        <v>31.430532369845402</v>
      </c>
      <c r="P35" s="675">
        <f t="shared" si="20"/>
        <v>30.729063058127345</v>
      </c>
      <c r="Q35" s="675">
        <f t="shared" si="20"/>
        <v>30.138407997483519</v>
      </c>
      <c r="R35" s="675">
        <f t="shared" si="20"/>
        <v>29.737176470588238</v>
      </c>
      <c r="S35" s="675">
        <f t="shared" si="20"/>
        <v>29.573777777777781</v>
      </c>
      <c r="T35" s="675">
        <f t="shared" si="20"/>
        <v>29.427578947368424</v>
      </c>
      <c r="U35" s="676">
        <f t="shared" si="20"/>
        <v>29.296000000000003</v>
      </c>
      <c r="V35" s="733"/>
    </row>
    <row r="36" spans="1:22" ht="18" thickTop="1">
      <c r="V36" s="733"/>
    </row>
    <row r="37" spans="1:22">
      <c r="V37" s="733"/>
    </row>
    <row r="38" spans="1:22">
      <c r="B38" s="792" t="s">
        <v>640</v>
      </c>
      <c r="C38" s="793"/>
      <c r="D38" s="794" t="str">
        <f>B1</f>
        <v>Maschinenkostenkalkulation für Traktor, 102 kW (93 - 111 kW, 126 - 151 PS), Lastschaltgetriebe</v>
      </c>
      <c r="Q38" s="745" t="s">
        <v>629</v>
      </c>
      <c r="R38" s="157" t="str">
        <f>E6</f>
        <v>h</v>
      </c>
      <c r="T38" s="745" t="s">
        <v>628</v>
      </c>
      <c r="U38" s="157" t="str">
        <f>$E$3</f>
        <v>€</v>
      </c>
      <c r="V38" s="733"/>
    </row>
    <row r="40" spans="1:22">
      <c r="B40" s="746" t="s">
        <v>624</v>
      </c>
      <c r="C40" s="747"/>
      <c r="D40" s="747"/>
      <c r="E40" s="747"/>
      <c r="F40" s="747"/>
      <c r="G40" s="747"/>
      <c r="H40" s="747"/>
      <c r="I40" s="747"/>
      <c r="J40" s="747"/>
      <c r="L40" s="746" t="s">
        <v>625</v>
      </c>
      <c r="M40" s="747"/>
      <c r="N40" s="747"/>
      <c r="O40" s="747"/>
      <c r="P40" s="747"/>
      <c r="Q40" s="747"/>
      <c r="R40" s="747"/>
      <c r="S40" s="747"/>
      <c r="T40" s="747"/>
    </row>
    <row r="57" spans="2:20">
      <c r="B57" s="746" t="s">
        <v>627</v>
      </c>
      <c r="C57" s="747"/>
      <c r="D57" s="747"/>
      <c r="E57" s="747"/>
      <c r="F57" s="747"/>
      <c r="G57" s="747"/>
      <c r="H57" s="747"/>
      <c r="I57" s="747"/>
      <c r="J57" s="747"/>
      <c r="L57" s="746" t="s">
        <v>626</v>
      </c>
      <c r="M57" s="747"/>
      <c r="N57" s="747"/>
      <c r="O57" s="747"/>
      <c r="P57" s="747"/>
      <c r="Q57" s="747"/>
      <c r="R57" s="747"/>
      <c r="S57" s="747"/>
      <c r="T57" s="747"/>
    </row>
  </sheetData>
  <phoneticPr fontId="5" type="noConversion"/>
  <printOptions gridLinesSet="0"/>
  <pageMargins left="0.59055118110236227" right="0.59055118110236227" top="0.78740157480314965" bottom="0.59055118110236227" header="0.31496062992125984" footer="0.39370078740157483"/>
  <pageSetup paperSize="9" scale="75" fitToHeight="2" orientation="landscape" blackAndWhite="1" horizontalDpi="4294967292" verticalDpi="300" r:id="rId1"/>
  <headerFooter alignWithMargins="0">
    <oddFooter>&amp;L&amp;8Kosten dauerhafter Produktionsmittel&amp;R&amp;9&amp;P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transitionEntry="1" codeName="Tabelle11">
    <pageSetUpPr fitToPage="1"/>
  </sheetPr>
  <dimension ref="A1:V57"/>
  <sheetViews>
    <sheetView showGridLines="0" zoomScale="85" workbookViewId="0"/>
  </sheetViews>
  <sheetFormatPr baseColWidth="10" defaultColWidth="9.5546875" defaultRowHeight="17.399999999999999"/>
  <cols>
    <col min="1" max="1" width="1.5546875" style="686" customWidth="1"/>
    <col min="2" max="2" width="14.21875" style="688" customWidth="1"/>
    <col min="3" max="3" width="4.44140625" style="688" customWidth="1"/>
    <col min="4" max="4" width="11.44140625" style="688" customWidth="1"/>
    <col min="5" max="5" width="6.5546875" style="688" customWidth="1"/>
    <col min="6" max="21" width="8.5546875" style="688" customWidth="1"/>
    <col min="22" max="22" width="2.5546875" style="688" customWidth="1"/>
    <col min="23" max="16384" width="9.5546875" style="688"/>
  </cols>
  <sheetData>
    <row r="1" spans="2:22">
      <c r="B1" s="1126" t="s">
        <v>1245</v>
      </c>
      <c r="F1" s="689"/>
    </row>
    <row r="2" spans="2:22" ht="18" thickBot="1">
      <c r="B2" s="857" t="s">
        <v>10</v>
      </c>
    </row>
    <row r="3" spans="2:22" ht="18" thickTop="1">
      <c r="B3" s="691" t="s">
        <v>1160</v>
      </c>
      <c r="C3" s="692"/>
      <c r="D3" s="692"/>
      <c r="E3" s="693" t="s">
        <v>27</v>
      </c>
      <c r="F3" s="694">
        <v>300000</v>
      </c>
      <c r="G3" s="695"/>
      <c r="H3" s="692" t="s">
        <v>1154</v>
      </c>
      <c r="I3" s="692"/>
      <c r="J3" s="692"/>
      <c r="K3" s="692"/>
      <c r="L3" s="696"/>
      <c r="M3" s="692"/>
      <c r="N3" s="697" t="s">
        <v>630</v>
      </c>
      <c r="O3" s="692"/>
      <c r="P3" s="692"/>
      <c r="Q3" s="692"/>
      <c r="R3" s="692"/>
      <c r="S3" s="692"/>
      <c r="T3" s="692"/>
      <c r="U3" s="698"/>
    </row>
    <row r="4" spans="2:22">
      <c r="B4" s="699" t="s">
        <v>1161</v>
      </c>
      <c r="C4" s="700"/>
      <c r="D4" s="700"/>
      <c r="E4" s="158" t="str">
        <f>E3</f>
        <v>€</v>
      </c>
      <c r="F4" s="702">
        <v>30000</v>
      </c>
      <c r="G4" s="703" t="s">
        <v>92</v>
      </c>
      <c r="I4" s="704" t="s">
        <v>1119</v>
      </c>
      <c r="J4" s="665" t="str">
        <f>$E$3&amp;"/Einh."</f>
        <v>€/Einh.</v>
      </c>
      <c r="K4" s="705" t="s">
        <v>1120</v>
      </c>
      <c r="L4" s="683" t="str">
        <f>$E$3&amp;"/"&amp;$E$6</f>
        <v>€/ha</v>
      </c>
      <c r="N4" s="706" t="s">
        <v>1246</v>
      </c>
      <c r="U4" s="707"/>
    </row>
    <row r="5" spans="2:22">
      <c r="B5" s="699" t="s">
        <v>1162</v>
      </c>
      <c r="C5" s="700"/>
      <c r="D5" s="700"/>
      <c r="E5" s="701" t="s">
        <v>65</v>
      </c>
      <c r="F5" s="702">
        <v>10</v>
      </c>
      <c r="G5" s="703"/>
      <c r="H5" s="708" t="s">
        <v>1121</v>
      </c>
      <c r="I5" s="709" t="s">
        <v>1122</v>
      </c>
      <c r="J5" s="710">
        <v>0.8</v>
      </c>
      <c r="K5" s="710">
        <v>20</v>
      </c>
      <c r="L5" s="684">
        <f>K5*J5</f>
        <v>16</v>
      </c>
      <c r="M5" s="711"/>
      <c r="N5" s="712" t="s">
        <v>631</v>
      </c>
      <c r="O5" s="711"/>
      <c r="P5" s="711"/>
      <c r="Q5" s="711"/>
      <c r="R5" s="711"/>
      <c r="S5" s="711"/>
      <c r="T5" s="711"/>
      <c r="U5" s="713"/>
    </row>
    <row r="6" spans="2:22">
      <c r="B6" s="699" t="s">
        <v>818</v>
      </c>
      <c r="C6" s="700"/>
      <c r="D6" s="700"/>
      <c r="E6" s="754" t="s">
        <v>61</v>
      </c>
      <c r="F6" s="702">
        <v>6000</v>
      </c>
      <c r="G6" s="703"/>
      <c r="H6" s="708" t="s">
        <v>1123</v>
      </c>
      <c r="I6" s="709" t="s">
        <v>1122</v>
      </c>
      <c r="J6" s="710">
        <v>3</v>
      </c>
      <c r="K6" s="710">
        <f>K5*1%</f>
        <v>0.2</v>
      </c>
      <c r="L6" s="684">
        <f>K6*J6</f>
        <v>0.60000000000000009</v>
      </c>
      <c r="M6" s="711"/>
      <c r="N6" s="715" t="s">
        <v>632</v>
      </c>
      <c r="O6" s="711"/>
      <c r="P6" s="711"/>
      <c r="Q6" s="711"/>
      <c r="R6" s="711"/>
      <c r="S6" s="711"/>
      <c r="T6" s="711"/>
      <c r="U6" s="713"/>
    </row>
    <row r="7" spans="2:22">
      <c r="B7" s="716" t="s">
        <v>620</v>
      </c>
      <c r="C7" s="700"/>
      <c r="D7" s="700"/>
      <c r="E7" s="701" t="s">
        <v>1163</v>
      </c>
      <c r="F7" s="749">
        <v>0.03</v>
      </c>
      <c r="G7" s="718"/>
      <c r="H7" s="719" t="s">
        <v>1124</v>
      </c>
      <c r="I7" s="720"/>
      <c r="J7" s="721"/>
      <c r="K7" s="721"/>
      <c r="L7" s="685">
        <f>SUM(L5:L6)</f>
        <v>16.600000000000001</v>
      </c>
      <c r="M7" s="711"/>
      <c r="N7" s="712" t="s">
        <v>633</v>
      </c>
      <c r="O7" s="711"/>
      <c r="P7" s="711"/>
      <c r="Q7" s="711"/>
      <c r="R7" s="711"/>
      <c r="S7" s="711"/>
      <c r="T7" s="711"/>
      <c r="U7" s="713"/>
    </row>
    <row r="8" spans="2:22">
      <c r="B8" s="716" t="s">
        <v>634</v>
      </c>
      <c r="E8" s="158" t="str">
        <f>E6&amp;"/Jahr"</f>
        <v>ha/Jahr</v>
      </c>
      <c r="F8" s="159">
        <f>F6/F5</f>
        <v>600</v>
      </c>
      <c r="L8" s="722"/>
      <c r="U8" s="707"/>
    </row>
    <row r="9" spans="2:22">
      <c r="B9" s="723" t="s">
        <v>1125</v>
      </c>
      <c r="C9" s="724"/>
      <c r="D9" s="725">
        <v>50</v>
      </c>
      <c r="E9" s="666" t="str">
        <f>$E$6</f>
        <v>ha</v>
      </c>
      <c r="F9" s="726">
        <v>50</v>
      </c>
      <c r="G9" s="667">
        <f t="shared" ref="G9:U9" si="0">F9+$D$9</f>
        <v>100</v>
      </c>
      <c r="H9" s="667">
        <f t="shared" si="0"/>
        <v>150</v>
      </c>
      <c r="I9" s="667">
        <f t="shared" si="0"/>
        <v>200</v>
      </c>
      <c r="J9" s="667">
        <f t="shared" si="0"/>
        <v>250</v>
      </c>
      <c r="K9" s="667">
        <f t="shared" si="0"/>
        <v>300</v>
      </c>
      <c r="L9" s="667">
        <f t="shared" si="0"/>
        <v>350</v>
      </c>
      <c r="M9" s="667">
        <f t="shared" si="0"/>
        <v>400</v>
      </c>
      <c r="N9" s="667">
        <f t="shared" si="0"/>
        <v>450</v>
      </c>
      <c r="O9" s="667">
        <f t="shared" si="0"/>
        <v>500</v>
      </c>
      <c r="P9" s="667">
        <f t="shared" si="0"/>
        <v>550</v>
      </c>
      <c r="Q9" s="667">
        <f t="shared" si="0"/>
        <v>600</v>
      </c>
      <c r="R9" s="667">
        <f t="shared" si="0"/>
        <v>650</v>
      </c>
      <c r="S9" s="667">
        <f t="shared" si="0"/>
        <v>700</v>
      </c>
      <c r="T9" s="667">
        <f t="shared" si="0"/>
        <v>750</v>
      </c>
      <c r="U9" s="668">
        <f t="shared" si="0"/>
        <v>800</v>
      </c>
    </row>
    <row r="10" spans="2:22">
      <c r="B10" s="716" t="s">
        <v>361</v>
      </c>
      <c r="C10" s="727"/>
      <c r="D10" s="727"/>
      <c r="E10" s="701"/>
      <c r="F10" s="750">
        <f t="shared" ref="F10:U10" si="1">F9/$F$8</f>
        <v>8.3333333333333329E-2</v>
      </c>
      <c r="G10" s="750">
        <f t="shared" si="1"/>
        <v>0.16666666666666666</v>
      </c>
      <c r="H10" s="750">
        <f t="shared" si="1"/>
        <v>0.25</v>
      </c>
      <c r="I10" s="750">
        <f t="shared" si="1"/>
        <v>0.33333333333333331</v>
      </c>
      <c r="J10" s="750">
        <f t="shared" si="1"/>
        <v>0.41666666666666669</v>
      </c>
      <c r="K10" s="750">
        <f t="shared" si="1"/>
        <v>0.5</v>
      </c>
      <c r="L10" s="750">
        <f t="shared" si="1"/>
        <v>0.58333333333333337</v>
      </c>
      <c r="M10" s="750">
        <f t="shared" si="1"/>
        <v>0.66666666666666663</v>
      </c>
      <c r="N10" s="750">
        <f t="shared" si="1"/>
        <v>0.75</v>
      </c>
      <c r="O10" s="750">
        <f t="shared" si="1"/>
        <v>0.83333333333333337</v>
      </c>
      <c r="P10" s="750">
        <f t="shared" si="1"/>
        <v>0.91666666666666663</v>
      </c>
      <c r="Q10" s="750">
        <f t="shared" si="1"/>
        <v>1</v>
      </c>
      <c r="R10" s="750">
        <f t="shared" si="1"/>
        <v>1.0833333333333333</v>
      </c>
      <c r="S10" s="750">
        <f t="shared" si="1"/>
        <v>1.1666666666666667</v>
      </c>
      <c r="T10" s="750">
        <f t="shared" si="1"/>
        <v>1.25</v>
      </c>
      <c r="U10" s="751">
        <f t="shared" si="1"/>
        <v>1.3333333333333333</v>
      </c>
    </row>
    <row r="11" spans="2:22" ht="18" thickBot="1">
      <c r="B11" s="774" t="s">
        <v>362</v>
      </c>
      <c r="C11" s="775"/>
      <c r="D11" s="776" t="s">
        <v>611</v>
      </c>
      <c r="E11" s="777">
        <v>0.5</v>
      </c>
      <c r="F11" s="778">
        <f t="shared" ref="F11:U11" si="2">IF(F10&gt;=1,1,F10^$E$11)</f>
        <v>0.28867513459481287</v>
      </c>
      <c r="G11" s="778">
        <f t="shared" si="2"/>
        <v>0.40824829046386302</v>
      </c>
      <c r="H11" s="778">
        <f t="shared" si="2"/>
        <v>0.5</v>
      </c>
      <c r="I11" s="778">
        <f t="shared" si="2"/>
        <v>0.57735026918962573</v>
      </c>
      <c r="J11" s="778">
        <f t="shared" si="2"/>
        <v>0.6454972243679028</v>
      </c>
      <c r="K11" s="778">
        <f t="shared" si="2"/>
        <v>0.70710678118654757</v>
      </c>
      <c r="L11" s="778">
        <f t="shared" si="2"/>
        <v>0.76376261582597338</v>
      </c>
      <c r="M11" s="778">
        <f t="shared" si="2"/>
        <v>0.81649658092772603</v>
      </c>
      <c r="N11" s="778">
        <f t="shared" si="2"/>
        <v>0.8660254037844386</v>
      </c>
      <c r="O11" s="778">
        <f t="shared" si="2"/>
        <v>0.9128709291752769</v>
      </c>
      <c r="P11" s="778">
        <f t="shared" si="2"/>
        <v>0.9574271077563381</v>
      </c>
      <c r="Q11" s="778">
        <f t="shared" si="2"/>
        <v>1</v>
      </c>
      <c r="R11" s="778">
        <f t="shared" si="2"/>
        <v>1</v>
      </c>
      <c r="S11" s="778">
        <f t="shared" si="2"/>
        <v>1</v>
      </c>
      <c r="T11" s="778">
        <f t="shared" si="2"/>
        <v>1</v>
      </c>
      <c r="U11" s="779">
        <f t="shared" si="2"/>
        <v>1</v>
      </c>
    </row>
    <row r="12" spans="2:22" ht="18" thickTop="1">
      <c r="B12" s="716"/>
      <c r="C12" s="727"/>
      <c r="D12" s="727"/>
      <c r="E12" s="701"/>
      <c r="F12" s="752"/>
      <c r="G12" s="752"/>
      <c r="H12" s="752"/>
      <c r="I12" s="752"/>
      <c r="J12" s="752"/>
      <c r="K12" s="752"/>
      <c r="L12" s="752"/>
      <c r="M12" s="752"/>
      <c r="N12" s="752"/>
      <c r="O12" s="752"/>
      <c r="P12" s="752"/>
      <c r="Q12" s="752"/>
      <c r="R12" s="752"/>
      <c r="S12" s="752"/>
      <c r="T12" s="752"/>
      <c r="U12" s="753"/>
    </row>
    <row r="13" spans="2:22">
      <c r="B13" s="730" t="s">
        <v>1167</v>
      </c>
      <c r="E13" s="701" t="s">
        <v>92</v>
      </c>
      <c r="F13" s="722"/>
      <c r="G13" s="722"/>
      <c r="H13" s="722"/>
      <c r="I13" s="722"/>
      <c r="J13" s="722"/>
      <c r="K13" s="722"/>
      <c r="L13" s="722"/>
      <c r="M13" s="722"/>
      <c r="N13" s="722"/>
      <c r="O13" s="722"/>
      <c r="P13" s="722"/>
      <c r="Q13" s="722"/>
      <c r="R13" s="722"/>
      <c r="S13" s="722"/>
      <c r="T13" s="722"/>
      <c r="U13" s="707"/>
    </row>
    <row r="14" spans="2:22">
      <c r="B14" s="731" t="s">
        <v>622</v>
      </c>
      <c r="D14" s="732" t="s">
        <v>363</v>
      </c>
      <c r="E14" s="158" t="str">
        <f>$E$3&amp;"/J"</f>
        <v>€/J</v>
      </c>
      <c r="F14" s="677">
        <f t="shared" ref="F14:U14" si="3">IF(F9&lt;=$F$8,($F$3-$F$4)/$F$5,0)</f>
        <v>27000</v>
      </c>
      <c r="G14" s="677">
        <f t="shared" si="3"/>
        <v>27000</v>
      </c>
      <c r="H14" s="677">
        <f t="shared" si="3"/>
        <v>27000</v>
      </c>
      <c r="I14" s="677">
        <f t="shared" si="3"/>
        <v>27000</v>
      </c>
      <c r="J14" s="677">
        <f t="shared" si="3"/>
        <v>27000</v>
      </c>
      <c r="K14" s="677">
        <f t="shared" si="3"/>
        <v>27000</v>
      </c>
      <c r="L14" s="677">
        <f t="shared" si="3"/>
        <v>27000</v>
      </c>
      <c r="M14" s="677">
        <f t="shared" si="3"/>
        <v>27000</v>
      </c>
      <c r="N14" s="677">
        <f t="shared" si="3"/>
        <v>27000</v>
      </c>
      <c r="O14" s="677">
        <f t="shared" si="3"/>
        <v>27000</v>
      </c>
      <c r="P14" s="677">
        <f t="shared" si="3"/>
        <v>27000</v>
      </c>
      <c r="Q14" s="677">
        <f t="shared" si="3"/>
        <v>27000</v>
      </c>
      <c r="R14" s="677">
        <f t="shared" si="3"/>
        <v>0</v>
      </c>
      <c r="S14" s="677">
        <f t="shared" si="3"/>
        <v>0</v>
      </c>
      <c r="T14" s="677">
        <f t="shared" si="3"/>
        <v>0</v>
      </c>
      <c r="U14" s="678">
        <f t="shared" si="3"/>
        <v>0</v>
      </c>
      <c r="V14" s="733"/>
    </row>
    <row r="15" spans="2:22">
      <c r="B15" s="755"/>
      <c r="C15" s="756"/>
      <c r="D15" s="756"/>
      <c r="E15" s="757" t="str">
        <f>$E$3&amp;"/"&amp;$E$6</f>
        <v>€/ha</v>
      </c>
      <c r="F15" s="758">
        <f t="shared" ref="F15:U15" si="4">F14/F9</f>
        <v>540</v>
      </c>
      <c r="G15" s="758">
        <f t="shared" si="4"/>
        <v>270</v>
      </c>
      <c r="H15" s="758">
        <f t="shared" si="4"/>
        <v>180</v>
      </c>
      <c r="I15" s="758">
        <f t="shared" si="4"/>
        <v>135</v>
      </c>
      <c r="J15" s="758">
        <f t="shared" si="4"/>
        <v>108</v>
      </c>
      <c r="K15" s="758">
        <f t="shared" si="4"/>
        <v>90</v>
      </c>
      <c r="L15" s="758">
        <f t="shared" si="4"/>
        <v>77.142857142857139</v>
      </c>
      <c r="M15" s="758">
        <f t="shared" si="4"/>
        <v>67.5</v>
      </c>
      <c r="N15" s="758">
        <f t="shared" si="4"/>
        <v>60</v>
      </c>
      <c r="O15" s="758">
        <f t="shared" si="4"/>
        <v>54</v>
      </c>
      <c r="P15" s="758">
        <f t="shared" si="4"/>
        <v>49.090909090909093</v>
      </c>
      <c r="Q15" s="758">
        <f t="shared" si="4"/>
        <v>45</v>
      </c>
      <c r="R15" s="758">
        <f t="shared" si="4"/>
        <v>0</v>
      </c>
      <c r="S15" s="758">
        <f t="shared" si="4"/>
        <v>0</v>
      </c>
      <c r="T15" s="758">
        <f t="shared" si="4"/>
        <v>0</v>
      </c>
      <c r="U15" s="759">
        <f t="shared" si="4"/>
        <v>0</v>
      </c>
      <c r="V15" s="733"/>
    </row>
    <row r="16" spans="2:22">
      <c r="B16" s="699" t="s">
        <v>843</v>
      </c>
      <c r="C16" s="733"/>
      <c r="D16" s="735" t="s">
        <v>621</v>
      </c>
      <c r="E16" s="158" t="str">
        <f>$E$3&amp;"/J"</f>
        <v>€/J</v>
      </c>
      <c r="F16" s="677">
        <f t="shared" ref="F16:U16" si="5">$F$7*($F$3+$F$4)/2</f>
        <v>4950</v>
      </c>
      <c r="G16" s="677">
        <f t="shared" si="5"/>
        <v>4950</v>
      </c>
      <c r="H16" s="677">
        <f t="shared" si="5"/>
        <v>4950</v>
      </c>
      <c r="I16" s="677">
        <f t="shared" si="5"/>
        <v>4950</v>
      </c>
      <c r="J16" s="677">
        <f t="shared" si="5"/>
        <v>4950</v>
      </c>
      <c r="K16" s="677">
        <f t="shared" si="5"/>
        <v>4950</v>
      </c>
      <c r="L16" s="677">
        <f t="shared" si="5"/>
        <v>4950</v>
      </c>
      <c r="M16" s="677">
        <f t="shared" si="5"/>
        <v>4950</v>
      </c>
      <c r="N16" s="677">
        <f t="shared" si="5"/>
        <v>4950</v>
      </c>
      <c r="O16" s="677">
        <f t="shared" si="5"/>
        <v>4950</v>
      </c>
      <c r="P16" s="677">
        <f t="shared" si="5"/>
        <v>4950</v>
      </c>
      <c r="Q16" s="677">
        <f t="shared" si="5"/>
        <v>4950</v>
      </c>
      <c r="R16" s="677">
        <f t="shared" si="5"/>
        <v>4950</v>
      </c>
      <c r="S16" s="677">
        <f t="shared" si="5"/>
        <v>4950</v>
      </c>
      <c r="T16" s="677">
        <f t="shared" si="5"/>
        <v>4950</v>
      </c>
      <c r="U16" s="678">
        <f t="shared" si="5"/>
        <v>4950</v>
      </c>
      <c r="V16" s="733"/>
    </row>
    <row r="17" spans="1:22">
      <c r="B17" s="760"/>
      <c r="C17" s="761"/>
      <c r="D17" s="756"/>
      <c r="E17" s="757" t="str">
        <f>$E$3&amp;"/"&amp;$E$6</f>
        <v>€/ha</v>
      </c>
      <c r="F17" s="758">
        <f t="shared" ref="F17:U17" si="6">F16/F9</f>
        <v>99</v>
      </c>
      <c r="G17" s="758">
        <f t="shared" si="6"/>
        <v>49.5</v>
      </c>
      <c r="H17" s="758">
        <f t="shared" si="6"/>
        <v>33</v>
      </c>
      <c r="I17" s="758">
        <f t="shared" si="6"/>
        <v>24.75</v>
      </c>
      <c r="J17" s="758">
        <f t="shared" si="6"/>
        <v>19.8</v>
      </c>
      <c r="K17" s="758">
        <f t="shared" si="6"/>
        <v>16.5</v>
      </c>
      <c r="L17" s="758">
        <f t="shared" si="6"/>
        <v>14.142857142857142</v>
      </c>
      <c r="M17" s="758">
        <f t="shared" si="6"/>
        <v>12.375</v>
      </c>
      <c r="N17" s="758">
        <f t="shared" si="6"/>
        <v>11</v>
      </c>
      <c r="O17" s="758">
        <f t="shared" si="6"/>
        <v>9.9</v>
      </c>
      <c r="P17" s="758">
        <f t="shared" si="6"/>
        <v>9</v>
      </c>
      <c r="Q17" s="758">
        <f t="shared" si="6"/>
        <v>8.25</v>
      </c>
      <c r="R17" s="758">
        <f t="shared" si="6"/>
        <v>7.615384615384615</v>
      </c>
      <c r="S17" s="758">
        <f t="shared" si="6"/>
        <v>7.0714285714285712</v>
      </c>
      <c r="T17" s="758">
        <f t="shared" si="6"/>
        <v>6.6</v>
      </c>
      <c r="U17" s="759">
        <f t="shared" si="6"/>
        <v>6.1875</v>
      </c>
      <c r="V17" s="733"/>
    </row>
    <row r="18" spans="1:22">
      <c r="B18" s="699" t="s">
        <v>94</v>
      </c>
      <c r="D18" s="748">
        <f>0.4%*F3</f>
        <v>1200</v>
      </c>
      <c r="E18" s="158" t="str">
        <f>$E$3&amp;"/J"</f>
        <v>€/J</v>
      </c>
      <c r="F18" s="677">
        <f t="shared" ref="F18:U18" si="7">$D$18</f>
        <v>1200</v>
      </c>
      <c r="G18" s="677">
        <f t="shared" si="7"/>
        <v>1200</v>
      </c>
      <c r="H18" s="677">
        <f t="shared" si="7"/>
        <v>1200</v>
      </c>
      <c r="I18" s="677">
        <f t="shared" si="7"/>
        <v>1200</v>
      </c>
      <c r="J18" s="677">
        <f t="shared" si="7"/>
        <v>1200</v>
      </c>
      <c r="K18" s="677">
        <f t="shared" si="7"/>
        <v>1200</v>
      </c>
      <c r="L18" s="677">
        <f t="shared" si="7"/>
        <v>1200</v>
      </c>
      <c r="M18" s="677">
        <f t="shared" si="7"/>
        <v>1200</v>
      </c>
      <c r="N18" s="677">
        <f t="shared" si="7"/>
        <v>1200</v>
      </c>
      <c r="O18" s="677">
        <f t="shared" si="7"/>
        <v>1200</v>
      </c>
      <c r="P18" s="677">
        <f t="shared" si="7"/>
        <v>1200</v>
      </c>
      <c r="Q18" s="677">
        <f t="shared" si="7"/>
        <v>1200</v>
      </c>
      <c r="R18" s="677">
        <f t="shared" si="7"/>
        <v>1200</v>
      </c>
      <c r="S18" s="677">
        <f t="shared" si="7"/>
        <v>1200</v>
      </c>
      <c r="T18" s="677">
        <f t="shared" si="7"/>
        <v>1200</v>
      </c>
      <c r="U18" s="678">
        <f t="shared" si="7"/>
        <v>1200</v>
      </c>
      <c r="V18" s="733"/>
    </row>
    <row r="19" spans="1:22">
      <c r="B19" s="760"/>
      <c r="C19" s="756"/>
      <c r="D19" s="761"/>
      <c r="E19" s="757" t="str">
        <f>$E$3&amp;"/"&amp;$E$6</f>
        <v>€/ha</v>
      </c>
      <c r="F19" s="758">
        <f t="shared" ref="F19:U19" si="8">F18/F9</f>
        <v>24</v>
      </c>
      <c r="G19" s="758">
        <f t="shared" si="8"/>
        <v>12</v>
      </c>
      <c r="H19" s="758">
        <f t="shared" si="8"/>
        <v>8</v>
      </c>
      <c r="I19" s="758">
        <f t="shared" si="8"/>
        <v>6</v>
      </c>
      <c r="J19" s="758">
        <f t="shared" si="8"/>
        <v>4.8</v>
      </c>
      <c r="K19" s="758">
        <f t="shared" si="8"/>
        <v>4</v>
      </c>
      <c r="L19" s="758">
        <f t="shared" si="8"/>
        <v>3.4285714285714284</v>
      </c>
      <c r="M19" s="758">
        <f t="shared" si="8"/>
        <v>3</v>
      </c>
      <c r="N19" s="758">
        <f t="shared" si="8"/>
        <v>2.6666666666666665</v>
      </c>
      <c r="O19" s="758">
        <f t="shared" si="8"/>
        <v>2.4</v>
      </c>
      <c r="P19" s="758">
        <f t="shared" si="8"/>
        <v>2.1818181818181817</v>
      </c>
      <c r="Q19" s="758">
        <f t="shared" si="8"/>
        <v>2</v>
      </c>
      <c r="R19" s="758">
        <f t="shared" si="8"/>
        <v>1.8461538461538463</v>
      </c>
      <c r="S19" s="758">
        <f t="shared" si="8"/>
        <v>1.7142857142857142</v>
      </c>
      <c r="T19" s="758">
        <f t="shared" si="8"/>
        <v>1.6</v>
      </c>
      <c r="U19" s="759">
        <f t="shared" si="8"/>
        <v>1.5</v>
      </c>
      <c r="V19" s="733"/>
    </row>
    <row r="20" spans="1:22">
      <c r="B20" s="699" t="s">
        <v>91</v>
      </c>
      <c r="D20" s="748">
        <f>0.2%*F3</f>
        <v>600</v>
      </c>
      <c r="E20" s="158" t="str">
        <f>$E$3&amp;"/J"</f>
        <v>€/J</v>
      </c>
      <c r="F20" s="677">
        <f t="shared" ref="F20:U20" si="9">$D$20</f>
        <v>600</v>
      </c>
      <c r="G20" s="677">
        <f t="shared" si="9"/>
        <v>600</v>
      </c>
      <c r="H20" s="677">
        <f t="shared" si="9"/>
        <v>600</v>
      </c>
      <c r="I20" s="677">
        <f t="shared" si="9"/>
        <v>600</v>
      </c>
      <c r="J20" s="677">
        <f t="shared" si="9"/>
        <v>600</v>
      </c>
      <c r="K20" s="677">
        <f t="shared" si="9"/>
        <v>600</v>
      </c>
      <c r="L20" s="677">
        <f t="shared" si="9"/>
        <v>600</v>
      </c>
      <c r="M20" s="677">
        <f t="shared" si="9"/>
        <v>600</v>
      </c>
      <c r="N20" s="677">
        <f t="shared" si="9"/>
        <v>600</v>
      </c>
      <c r="O20" s="677">
        <f t="shared" si="9"/>
        <v>600</v>
      </c>
      <c r="P20" s="677">
        <f t="shared" si="9"/>
        <v>600</v>
      </c>
      <c r="Q20" s="677">
        <f t="shared" si="9"/>
        <v>600</v>
      </c>
      <c r="R20" s="677">
        <f t="shared" si="9"/>
        <v>600</v>
      </c>
      <c r="S20" s="677">
        <f t="shared" si="9"/>
        <v>600</v>
      </c>
      <c r="T20" s="677">
        <f t="shared" si="9"/>
        <v>600</v>
      </c>
      <c r="U20" s="678">
        <f t="shared" si="9"/>
        <v>600</v>
      </c>
      <c r="V20" s="733"/>
    </row>
    <row r="21" spans="1:22">
      <c r="B21" s="766"/>
      <c r="C21" s="767"/>
      <c r="D21" s="767"/>
      <c r="E21" s="768" t="str">
        <f>$E$3&amp;"/"&amp;$E$6</f>
        <v>€/ha</v>
      </c>
      <c r="F21" s="769">
        <f t="shared" ref="F21:U21" si="10">F20/F9</f>
        <v>12</v>
      </c>
      <c r="G21" s="769">
        <f t="shared" si="10"/>
        <v>6</v>
      </c>
      <c r="H21" s="769">
        <f t="shared" si="10"/>
        <v>4</v>
      </c>
      <c r="I21" s="769">
        <f t="shared" si="10"/>
        <v>3</v>
      </c>
      <c r="J21" s="769">
        <f t="shared" si="10"/>
        <v>2.4</v>
      </c>
      <c r="K21" s="769">
        <f t="shared" si="10"/>
        <v>2</v>
      </c>
      <c r="L21" s="769">
        <f t="shared" si="10"/>
        <v>1.7142857142857142</v>
      </c>
      <c r="M21" s="769">
        <f t="shared" si="10"/>
        <v>1.5</v>
      </c>
      <c r="N21" s="769">
        <f t="shared" si="10"/>
        <v>1.3333333333333333</v>
      </c>
      <c r="O21" s="769">
        <f t="shared" si="10"/>
        <v>1.2</v>
      </c>
      <c r="P21" s="769">
        <f t="shared" si="10"/>
        <v>1.0909090909090908</v>
      </c>
      <c r="Q21" s="769">
        <f t="shared" si="10"/>
        <v>1</v>
      </c>
      <c r="R21" s="769">
        <f t="shared" si="10"/>
        <v>0.92307692307692313</v>
      </c>
      <c r="S21" s="769">
        <f t="shared" si="10"/>
        <v>0.8571428571428571</v>
      </c>
      <c r="T21" s="769">
        <f t="shared" si="10"/>
        <v>0.8</v>
      </c>
      <c r="U21" s="770">
        <f t="shared" si="10"/>
        <v>0.75</v>
      </c>
      <c r="V21" s="733"/>
    </row>
    <row r="22" spans="1:22">
      <c r="B22" s="737" t="s">
        <v>635</v>
      </c>
      <c r="C22" s="700"/>
      <c r="D22" s="700"/>
      <c r="E22" s="160" t="str">
        <f>$E$3&amp;"/J"</f>
        <v>€/J</v>
      </c>
      <c r="F22" s="679">
        <f t="shared" ref="F22:U22" si="11">F14+F16+F18+F20</f>
        <v>33750</v>
      </c>
      <c r="G22" s="679">
        <f t="shared" si="11"/>
        <v>33750</v>
      </c>
      <c r="H22" s="679">
        <f t="shared" si="11"/>
        <v>33750</v>
      </c>
      <c r="I22" s="679">
        <f t="shared" si="11"/>
        <v>33750</v>
      </c>
      <c r="J22" s="679">
        <f t="shared" si="11"/>
        <v>33750</v>
      </c>
      <c r="K22" s="679">
        <f t="shared" si="11"/>
        <v>33750</v>
      </c>
      <c r="L22" s="679">
        <f t="shared" si="11"/>
        <v>33750</v>
      </c>
      <c r="M22" s="679">
        <f t="shared" si="11"/>
        <v>33750</v>
      </c>
      <c r="N22" s="679">
        <f t="shared" si="11"/>
        <v>33750</v>
      </c>
      <c r="O22" s="679">
        <f t="shared" si="11"/>
        <v>33750</v>
      </c>
      <c r="P22" s="679">
        <f t="shared" si="11"/>
        <v>33750</v>
      </c>
      <c r="Q22" s="679">
        <f t="shared" si="11"/>
        <v>33750</v>
      </c>
      <c r="R22" s="679">
        <f t="shared" si="11"/>
        <v>6750</v>
      </c>
      <c r="S22" s="679">
        <f t="shared" si="11"/>
        <v>6750</v>
      </c>
      <c r="T22" s="679">
        <f t="shared" si="11"/>
        <v>6750</v>
      </c>
      <c r="U22" s="680">
        <f t="shared" si="11"/>
        <v>6750</v>
      </c>
      <c r="V22" s="733"/>
    </row>
    <row r="23" spans="1:22" ht="18" thickBot="1">
      <c r="B23" s="782"/>
      <c r="C23" s="775"/>
      <c r="D23" s="775"/>
      <c r="E23" s="783" t="str">
        <f>$E$3&amp;"/"&amp;$E$6</f>
        <v>€/ha</v>
      </c>
      <c r="F23" s="784">
        <f t="shared" ref="F23:U23" si="12">F15+F17+F19+F21</f>
        <v>675</v>
      </c>
      <c r="G23" s="784">
        <f t="shared" si="12"/>
        <v>337.5</v>
      </c>
      <c r="H23" s="784">
        <f t="shared" si="12"/>
        <v>225</v>
      </c>
      <c r="I23" s="784">
        <f t="shared" si="12"/>
        <v>168.75</v>
      </c>
      <c r="J23" s="784">
        <f t="shared" si="12"/>
        <v>135</v>
      </c>
      <c r="K23" s="784">
        <f t="shared" si="12"/>
        <v>112.5</v>
      </c>
      <c r="L23" s="784">
        <f t="shared" si="12"/>
        <v>96.428571428571416</v>
      </c>
      <c r="M23" s="784">
        <f t="shared" si="12"/>
        <v>84.375</v>
      </c>
      <c r="N23" s="784">
        <f t="shared" si="12"/>
        <v>75</v>
      </c>
      <c r="O23" s="784">
        <f t="shared" si="12"/>
        <v>67.5</v>
      </c>
      <c r="P23" s="784">
        <f t="shared" si="12"/>
        <v>61.363636363636367</v>
      </c>
      <c r="Q23" s="784">
        <f t="shared" si="12"/>
        <v>56.25</v>
      </c>
      <c r="R23" s="784">
        <f t="shared" si="12"/>
        <v>10.384615384615385</v>
      </c>
      <c r="S23" s="784">
        <f t="shared" si="12"/>
        <v>9.6428571428571423</v>
      </c>
      <c r="T23" s="784">
        <f t="shared" si="12"/>
        <v>9</v>
      </c>
      <c r="U23" s="785">
        <f t="shared" si="12"/>
        <v>8.4375</v>
      </c>
      <c r="V23" s="733"/>
    </row>
    <row r="24" spans="1:22" ht="25.2" thickTop="1">
      <c r="A24" s="738"/>
      <c r="B24" s="730" t="s">
        <v>1170</v>
      </c>
      <c r="E24" s="722"/>
      <c r="F24" s="739" t="s">
        <v>92</v>
      </c>
      <c r="G24" s="739" t="s">
        <v>92</v>
      </c>
      <c r="H24" s="739" t="s">
        <v>92</v>
      </c>
      <c r="I24" s="739" t="s">
        <v>92</v>
      </c>
      <c r="J24" s="739" t="s">
        <v>92</v>
      </c>
      <c r="K24" s="739" t="s">
        <v>92</v>
      </c>
      <c r="L24" s="739" t="s">
        <v>92</v>
      </c>
      <c r="M24" s="739" t="s">
        <v>92</v>
      </c>
      <c r="N24" s="739" t="s">
        <v>92</v>
      </c>
      <c r="O24" s="739" t="s">
        <v>92</v>
      </c>
      <c r="P24" s="739" t="s">
        <v>92</v>
      </c>
      <c r="Q24" s="739" t="s">
        <v>92</v>
      </c>
      <c r="R24" s="739" t="s">
        <v>92</v>
      </c>
      <c r="S24" s="739" t="s">
        <v>92</v>
      </c>
      <c r="T24" s="739" t="s">
        <v>92</v>
      </c>
      <c r="U24" s="740" t="s">
        <v>92</v>
      </c>
      <c r="V24" s="733"/>
    </row>
    <row r="25" spans="1:22">
      <c r="B25" s="734" t="s">
        <v>623</v>
      </c>
      <c r="D25" s="732" t="s">
        <v>364</v>
      </c>
      <c r="E25" s="158" t="str">
        <f>$E$3&amp;"/"&amp;$E$6</f>
        <v>€/ha</v>
      </c>
      <c r="F25" s="681">
        <f t="shared" ref="F25:U25" si="13">IF(F9&gt;$F$8,($F$3-$F$4)/$F$6,0)</f>
        <v>0</v>
      </c>
      <c r="G25" s="681">
        <f t="shared" si="13"/>
        <v>0</v>
      </c>
      <c r="H25" s="681">
        <f t="shared" si="13"/>
        <v>0</v>
      </c>
      <c r="I25" s="681">
        <f t="shared" si="13"/>
        <v>0</v>
      </c>
      <c r="J25" s="681">
        <f t="shared" si="13"/>
        <v>0</v>
      </c>
      <c r="K25" s="681">
        <f t="shared" si="13"/>
        <v>0</v>
      </c>
      <c r="L25" s="681">
        <f t="shared" si="13"/>
        <v>0</v>
      </c>
      <c r="M25" s="681">
        <f t="shared" si="13"/>
        <v>0</v>
      </c>
      <c r="N25" s="681">
        <f t="shared" si="13"/>
        <v>0</v>
      </c>
      <c r="O25" s="681">
        <f t="shared" si="13"/>
        <v>0</v>
      </c>
      <c r="P25" s="681">
        <f t="shared" si="13"/>
        <v>0</v>
      </c>
      <c r="Q25" s="681">
        <f t="shared" si="13"/>
        <v>0</v>
      </c>
      <c r="R25" s="681">
        <f t="shared" si="13"/>
        <v>45</v>
      </c>
      <c r="S25" s="681">
        <f t="shared" si="13"/>
        <v>45</v>
      </c>
      <c r="T25" s="681">
        <f t="shared" si="13"/>
        <v>45</v>
      </c>
      <c r="U25" s="682">
        <f t="shared" si="13"/>
        <v>45</v>
      </c>
      <c r="V25" s="733"/>
    </row>
    <row r="26" spans="1:22">
      <c r="B26" s="762"/>
      <c r="C26" s="756"/>
      <c r="D26" s="756"/>
      <c r="E26" s="757" t="str">
        <f>$E$3&amp;"/J"</f>
        <v>€/J</v>
      </c>
      <c r="F26" s="763">
        <f t="shared" ref="F26:U26" si="14">IF(F9&gt;$F$8,($F$3-$F$4)/$F$6*F9,0)</f>
        <v>0</v>
      </c>
      <c r="G26" s="763">
        <f t="shared" si="14"/>
        <v>0</v>
      </c>
      <c r="H26" s="763">
        <f t="shared" si="14"/>
        <v>0</v>
      </c>
      <c r="I26" s="763">
        <f t="shared" si="14"/>
        <v>0</v>
      </c>
      <c r="J26" s="763">
        <f t="shared" si="14"/>
        <v>0</v>
      </c>
      <c r="K26" s="763">
        <f t="shared" si="14"/>
        <v>0</v>
      </c>
      <c r="L26" s="763">
        <f t="shared" si="14"/>
        <v>0</v>
      </c>
      <c r="M26" s="763">
        <f t="shared" si="14"/>
        <v>0</v>
      </c>
      <c r="N26" s="763">
        <f t="shared" si="14"/>
        <v>0</v>
      </c>
      <c r="O26" s="763">
        <f t="shared" si="14"/>
        <v>0</v>
      </c>
      <c r="P26" s="763">
        <f t="shared" si="14"/>
        <v>0</v>
      </c>
      <c r="Q26" s="763">
        <f t="shared" si="14"/>
        <v>0</v>
      </c>
      <c r="R26" s="763">
        <f t="shared" si="14"/>
        <v>29250</v>
      </c>
      <c r="S26" s="763">
        <f t="shared" si="14"/>
        <v>31500</v>
      </c>
      <c r="T26" s="763">
        <f t="shared" si="14"/>
        <v>33750</v>
      </c>
      <c r="U26" s="764">
        <f t="shared" si="14"/>
        <v>36000</v>
      </c>
      <c r="V26" s="733"/>
    </row>
    <row r="27" spans="1:22">
      <c r="B27" s="736" t="s">
        <v>819</v>
      </c>
      <c r="D27" s="741">
        <v>12</v>
      </c>
      <c r="E27" s="158" t="str">
        <f>$E$3&amp;"/"&amp;$E$6</f>
        <v>€/ha</v>
      </c>
      <c r="F27" s="681">
        <f t="shared" ref="F27:U27" si="15">$D$27*F11</f>
        <v>3.4641016151377544</v>
      </c>
      <c r="G27" s="681">
        <f t="shared" si="15"/>
        <v>4.8989794855663558</v>
      </c>
      <c r="H27" s="681">
        <f t="shared" si="15"/>
        <v>6</v>
      </c>
      <c r="I27" s="681">
        <f t="shared" si="15"/>
        <v>6.9282032302755088</v>
      </c>
      <c r="J27" s="681">
        <f t="shared" si="15"/>
        <v>7.745966692414834</v>
      </c>
      <c r="K27" s="681">
        <f t="shared" si="15"/>
        <v>8.4852813742385713</v>
      </c>
      <c r="L27" s="681">
        <f t="shared" si="15"/>
        <v>9.1651513899116814</v>
      </c>
      <c r="M27" s="681">
        <f t="shared" si="15"/>
        <v>9.7979589711327115</v>
      </c>
      <c r="N27" s="681">
        <f t="shared" si="15"/>
        <v>10.392304845413264</v>
      </c>
      <c r="O27" s="681">
        <f t="shared" si="15"/>
        <v>10.954451150103322</v>
      </c>
      <c r="P27" s="681">
        <f t="shared" si="15"/>
        <v>11.489125293076057</v>
      </c>
      <c r="Q27" s="681">
        <f t="shared" si="15"/>
        <v>12</v>
      </c>
      <c r="R27" s="681">
        <f t="shared" si="15"/>
        <v>12</v>
      </c>
      <c r="S27" s="681">
        <f t="shared" si="15"/>
        <v>12</v>
      </c>
      <c r="T27" s="681">
        <f t="shared" si="15"/>
        <v>12</v>
      </c>
      <c r="U27" s="682">
        <f t="shared" si="15"/>
        <v>12</v>
      </c>
      <c r="V27" s="733"/>
    </row>
    <row r="28" spans="1:22">
      <c r="B28" s="762"/>
      <c r="C28" s="765" t="s">
        <v>92</v>
      </c>
      <c r="D28" s="756"/>
      <c r="E28" s="757" t="str">
        <f>$E$3&amp;"/J"</f>
        <v>€/J</v>
      </c>
      <c r="F28" s="763">
        <f t="shared" ref="F28:U28" si="16">F27*F9</f>
        <v>173.20508075688772</v>
      </c>
      <c r="G28" s="763">
        <f t="shared" si="16"/>
        <v>489.89794855663558</v>
      </c>
      <c r="H28" s="763">
        <f t="shared" si="16"/>
        <v>900</v>
      </c>
      <c r="I28" s="763">
        <f t="shared" si="16"/>
        <v>1385.6406460551018</v>
      </c>
      <c r="J28" s="763">
        <f t="shared" si="16"/>
        <v>1936.4916731037085</v>
      </c>
      <c r="K28" s="763">
        <f t="shared" si="16"/>
        <v>2545.5844122715712</v>
      </c>
      <c r="L28" s="763">
        <f t="shared" si="16"/>
        <v>3207.8029864690884</v>
      </c>
      <c r="M28" s="763">
        <f t="shared" si="16"/>
        <v>3919.1835884530847</v>
      </c>
      <c r="N28" s="763">
        <f t="shared" si="16"/>
        <v>4676.5371804359693</v>
      </c>
      <c r="O28" s="763">
        <f t="shared" si="16"/>
        <v>5477.2255750516615</v>
      </c>
      <c r="P28" s="763">
        <f t="shared" si="16"/>
        <v>6319.0189111918316</v>
      </c>
      <c r="Q28" s="763">
        <f t="shared" si="16"/>
        <v>7200</v>
      </c>
      <c r="R28" s="763">
        <f t="shared" si="16"/>
        <v>7800</v>
      </c>
      <c r="S28" s="763">
        <f t="shared" si="16"/>
        <v>8400</v>
      </c>
      <c r="T28" s="763">
        <f t="shared" si="16"/>
        <v>9000</v>
      </c>
      <c r="U28" s="764">
        <f t="shared" si="16"/>
        <v>9600</v>
      </c>
      <c r="V28" s="733"/>
    </row>
    <row r="29" spans="1:22">
      <c r="B29" s="736" t="s">
        <v>1154</v>
      </c>
      <c r="D29" s="703" t="s">
        <v>92</v>
      </c>
      <c r="E29" s="158" t="str">
        <f>$E$3&amp;"/"&amp;$E$6</f>
        <v>€/ha</v>
      </c>
      <c r="F29" s="681">
        <f t="shared" ref="F29:U29" si="17">$L$7</f>
        <v>16.600000000000001</v>
      </c>
      <c r="G29" s="681">
        <f t="shared" si="17"/>
        <v>16.600000000000001</v>
      </c>
      <c r="H29" s="681">
        <f t="shared" si="17"/>
        <v>16.600000000000001</v>
      </c>
      <c r="I29" s="681">
        <f t="shared" si="17"/>
        <v>16.600000000000001</v>
      </c>
      <c r="J29" s="681">
        <f t="shared" si="17"/>
        <v>16.600000000000001</v>
      </c>
      <c r="K29" s="681">
        <f t="shared" si="17"/>
        <v>16.600000000000001</v>
      </c>
      <c r="L29" s="681">
        <f t="shared" si="17"/>
        <v>16.600000000000001</v>
      </c>
      <c r="M29" s="681">
        <f t="shared" si="17"/>
        <v>16.600000000000001</v>
      </c>
      <c r="N29" s="681">
        <f t="shared" si="17"/>
        <v>16.600000000000001</v>
      </c>
      <c r="O29" s="681">
        <f t="shared" si="17"/>
        <v>16.600000000000001</v>
      </c>
      <c r="P29" s="681">
        <f t="shared" si="17"/>
        <v>16.600000000000001</v>
      </c>
      <c r="Q29" s="681">
        <f t="shared" si="17"/>
        <v>16.600000000000001</v>
      </c>
      <c r="R29" s="681">
        <f t="shared" si="17"/>
        <v>16.600000000000001</v>
      </c>
      <c r="S29" s="681">
        <f t="shared" si="17"/>
        <v>16.600000000000001</v>
      </c>
      <c r="T29" s="681">
        <f t="shared" si="17"/>
        <v>16.600000000000001</v>
      </c>
      <c r="U29" s="682">
        <f t="shared" si="17"/>
        <v>16.600000000000001</v>
      </c>
      <c r="V29" s="733"/>
    </row>
    <row r="30" spans="1:22">
      <c r="B30" s="771"/>
      <c r="C30" s="767"/>
      <c r="D30" s="767"/>
      <c r="E30" s="768" t="str">
        <f>$E$3&amp;"/J"</f>
        <v>€/J</v>
      </c>
      <c r="F30" s="772">
        <f t="shared" ref="F30:U30" si="18">F29*F9</f>
        <v>830.00000000000011</v>
      </c>
      <c r="G30" s="772">
        <f t="shared" si="18"/>
        <v>1660.0000000000002</v>
      </c>
      <c r="H30" s="772">
        <f t="shared" si="18"/>
        <v>2490</v>
      </c>
      <c r="I30" s="772">
        <f t="shared" si="18"/>
        <v>3320.0000000000005</v>
      </c>
      <c r="J30" s="772">
        <f t="shared" si="18"/>
        <v>4150</v>
      </c>
      <c r="K30" s="772">
        <f t="shared" si="18"/>
        <v>4980</v>
      </c>
      <c r="L30" s="772">
        <f t="shared" si="18"/>
        <v>5810.0000000000009</v>
      </c>
      <c r="M30" s="772">
        <f t="shared" si="18"/>
        <v>6640.0000000000009</v>
      </c>
      <c r="N30" s="772">
        <f t="shared" si="18"/>
        <v>7470.0000000000009</v>
      </c>
      <c r="O30" s="772">
        <f t="shared" si="18"/>
        <v>8300</v>
      </c>
      <c r="P30" s="772">
        <f t="shared" si="18"/>
        <v>9130</v>
      </c>
      <c r="Q30" s="772">
        <f t="shared" si="18"/>
        <v>9960</v>
      </c>
      <c r="R30" s="772">
        <f t="shared" si="18"/>
        <v>10790.000000000002</v>
      </c>
      <c r="S30" s="772">
        <f t="shared" si="18"/>
        <v>11620.000000000002</v>
      </c>
      <c r="T30" s="772">
        <f t="shared" si="18"/>
        <v>12450.000000000002</v>
      </c>
      <c r="U30" s="773">
        <f t="shared" si="18"/>
        <v>13280.000000000002</v>
      </c>
      <c r="V30" s="733"/>
    </row>
    <row r="31" spans="1:22">
      <c r="B31" s="737" t="s">
        <v>636</v>
      </c>
      <c r="C31" s="700"/>
      <c r="D31" s="700"/>
      <c r="E31" s="160" t="str">
        <f>$E$3&amp;"/"&amp;$E$6</f>
        <v>€/ha</v>
      </c>
      <c r="F31" s="673">
        <f t="shared" ref="F31:U31" si="19">F29+F27+F25</f>
        <v>20.064101615137755</v>
      </c>
      <c r="G31" s="673">
        <f t="shared" si="19"/>
        <v>21.498979485566359</v>
      </c>
      <c r="H31" s="673">
        <f t="shared" si="19"/>
        <v>22.6</v>
      </c>
      <c r="I31" s="673">
        <f t="shared" si="19"/>
        <v>23.528203230275508</v>
      </c>
      <c r="J31" s="673">
        <f t="shared" si="19"/>
        <v>24.345966692414834</v>
      </c>
      <c r="K31" s="673">
        <f t="shared" si="19"/>
        <v>25.085281374238573</v>
      </c>
      <c r="L31" s="673">
        <f t="shared" si="19"/>
        <v>25.765151389911683</v>
      </c>
      <c r="M31" s="673">
        <f t="shared" si="19"/>
        <v>26.397958971132713</v>
      </c>
      <c r="N31" s="673">
        <f t="shared" si="19"/>
        <v>26.992304845413265</v>
      </c>
      <c r="O31" s="673">
        <f t="shared" si="19"/>
        <v>27.554451150103326</v>
      </c>
      <c r="P31" s="673">
        <f t="shared" si="19"/>
        <v>28.089125293076059</v>
      </c>
      <c r="Q31" s="673">
        <f t="shared" si="19"/>
        <v>28.6</v>
      </c>
      <c r="R31" s="673">
        <f t="shared" si="19"/>
        <v>73.599999999999994</v>
      </c>
      <c r="S31" s="673">
        <f t="shared" si="19"/>
        <v>73.599999999999994</v>
      </c>
      <c r="T31" s="673">
        <f t="shared" si="19"/>
        <v>73.599999999999994</v>
      </c>
      <c r="U31" s="674">
        <f t="shared" si="19"/>
        <v>73.599999999999994</v>
      </c>
      <c r="V31" s="733"/>
    </row>
    <row r="32" spans="1:22" ht="18" thickBot="1">
      <c r="B32" s="782"/>
      <c r="C32" s="775"/>
      <c r="D32" s="775"/>
      <c r="E32" s="783" t="str">
        <f>$E$3&amp;"/J"</f>
        <v>€/J</v>
      </c>
      <c r="F32" s="786">
        <f t="shared" ref="F32:U32" si="20">F30+F28+F26</f>
        <v>1003.2050807568878</v>
      </c>
      <c r="G32" s="786">
        <f t="shared" si="20"/>
        <v>2149.897948556636</v>
      </c>
      <c r="H32" s="786">
        <f t="shared" si="20"/>
        <v>3390</v>
      </c>
      <c r="I32" s="786">
        <f t="shared" si="20"/>
        <v>4705.6406460551025</v>
      </c>
      <c r="J32" s="786">
        <f t="shared" si="20"/>
        <v>6086.4916731037083</v>
      </c>
      <c r="K32" s="786">
        <f t="shared" si="20"/>
        <v>7525.5844122715716</v>
      </c>
      <c r="L32" s="786">
        <f t="shared" si="20"/>
        <v>9017.8029864690889</v>
      </c>
      <c r="M32" s="786">
        <f t="shared" si="20"/>
        <v>10559.183588453085</v>
      </c>
      <c r="N32" s="786">
        <f t="shared" si="20"/>
        <v>12146.537180435971</v>
      </c>
      <c r="O32" s="786">
        <f t="shared" si="20"/>
        <v>13777.225575051662</v>
      </c>
      <c r="P32" s="786">
        <f t="shared" si="20"/>
        <v>15449.018911191832</v>
      </c>
      <c r="Q32" s="786">
        <f t="shared" si="20"/>
        <v>17160</v>
      </c>
      <c r="R32" s="786">
        <f t="shared" si="20"/>
        <v>47840</v>
      </c>
      <c r="S32" s="786">
        <f t="shared" si="20"/>
        <v>51520</v>
      </c>
      <c r="T32" s="786">
        <f t="shared" si="20"/>
        <v>55200</v>
      </c>
      <c r="U32" s="787">
        <f t="shared" si="20"/>
        <v>58880</v>
      </c>
      <c r="V32" s="733"/>
    </row>
    <row r="33" spans="1:22" ht="25.2" thickTop="1">
      <c r="A33" s="738"/>
      <c r="B33" s="730" t="s">
        <v>1126</v>
      </c>
      <c r="E33" s="722"/>
      <c r="F33" s="742"/>
      <c r="G33" s="742"/>
      <c r="H33" s="742"/>
      <c r="I33" s="742"/>
      <c r="J33" s="742"/>
      <c r="K33" s="742"/>
      <c r="L33" s="742"/>
      <c r="M33" s="742"/>
      <c r="N33" s="742"/>
      <c r="O33" s="742"/>
      <c r="P33" s="742"/>
      <c r="Q33" s="742"/>
      <c r="R33" s="742"/>
      <c r="S33" s="742"/>
      <c r="T33" s="742"/>
      <c r="U33" s="743"/>
      <c r="V33" s="733"/>
    </row>
    <row r="34" spans="1:22">
      <c r="B34" s="737" t="s">
        <v>639</v>
      </c>
      <c r="C34" s="788"/>
      <c r="D34" s="790" t="s">
        <v>638</v>
      </c>
      <c r="E34" s="160" t="str">
        <f>$E$3&amp;"/J"</f>
        <v>€/J</v>
      </c>
      <c r="F34" s="679">
        <f t="shared" ref="F34:U34" si="21">F32+F22</f>
        <v>34753.205080756888</v>
      </c>
      <c r="G34" s="679">
        <f t="shared" si="21"/>
        <v>35899.897948556638</v>
      </c>
      <c r="H34" s="679">
        <f t="shared" si="21"/>
        <v>37140</v>
      </c>
      <c r="I34" s="679">
        <f t="shared" si="21"/>
        <v>38455.640646055101</v>
      </c>
      <c r="J34" s="679">
        <f t="shared" si="21"/>
        <v>39836.491673103708</v>
      </c>
      <c r="K34" s="679">
        <f t="shared" si="21"/>
        <v>41275.584412271572</v>
      </c>
      <c r="L34" s="679">
        <f t="shared" si="21"/>
        <v>42767.802986469091</v>
      </c>
      <c r="M34" s="679">
        <f t="shared" si="21"/>
        <v>44309.183588453088</v>
      </c>
      <c r="N34" s="679">
        <f t="shared" si="21"/>
        <v>45896.537180435975</v>
      </c>
      <c r="O34" s="679">
        <f t="shared" si="21"/>
        <v>47527.225575051663</v>
      </c>
      <c r="P34" s="679">
        <f t="shared" si="21"/>
        <v>49199.01891119183</v>
      </c>
      <c r="Q34" s="679">
        <f t="shared" si="21"/>
        <v>50910</v>
      </c>
      <c r="R34" s="679">
        <f t="shared" si="21"/>
        <v>54590</v>
      </c>
      <c r="S34" s="679">
        <f t="shared" si="21"/>
        <v>58270</v>
      </c>
      <c r="T34" s="679">
        <f t="shared" si="21"/>
        <v>61950</v>
      </c>
      <c r="U34" s="680">
        <f t="shared" si="21"/>
        <v>65630</v>
      </c>
      <c r="V34" s="733"/>
    </row>
    <row r="35" spans="1:22" ht="18" thickBot="1">
      <c r="B35" s="744" t="s">
        <v>639</v>
      </c>
      <c r="C35" s="789"/>
      <c r="D35" s="791" t="str">
        <f>"je "&amp;E6</f>
        <v>je ha</v>
      </c>
      <c r="E35" s="161" t="str">
        <f>$E$3&amp;"/"&amp;$E$6</f>
        <v>€/ha</v>
      </c>
      <c r="F35" s="675">
        <f t="shared" ref="F35:U35" si="22">F31+F23</f>
        <v>695.0641016151377</v>
      </c>
      <c r="G35" s="675">
        <f t="shared" si="22"/>
        <v>358.99897948556634</v>
      </c>
      <c r="H35" s="675">
        <f t="shared" si="22"/>
        <v>247.6</v>
      </c>
      <c r="I35" s="675">
        <f t="shared" si="22"/>
        <v>192.27820323027549</v>
      </c>
      <c r="J35" s="675">
        <f t="shared" si="22"/>
        <v>159.34596669241483</v>
      </c>
      <c r="K35" s="675">
        <f t="shared" si="22"/>
        <v>137.58528137423858</v>
      </c>
      <c r="L35" s="675">
        <f t="shared" si="22"/>
        <v>122.1937228184831</v>
      </c>
      <c r="M35" s="675">
        <f t="shared" si="22"/>
        <v>110.77295897113271</v>
      </c>
      <c r="N35" s="675">
        <f t="shared" si="22"/>
        <v>101.99230484541326</v>
      </c>
      <c r="O35" s="675">
        <f t="shared" si="22"/>
        <v>95.054451150103318</v>
      </c>
      <c r="P35" s="675">
        <f t="shared" si="22"/>
        <v>89.452761656712426</v>
      </c>
      <c r="Q35" s="675">
        <f t="shared" si="22"/>
        <v>84.85</v>
      </c>
      <c r="R35" s="675">
        <f t="shared" si="22"/>
        <v>83.984615384615381</v>
      </c>
      <c r="S35" s="675">
        <f t="shared" si="22"/>
        <v>83.242857142857133</v>
      </c>
      <c r="T35" s="675">
        <f t="shared" si="22"/>
        <v>82.6</v>
      </c>
      <c r="U35" s="676">
        <f t="shared" si="22"/>
        <v>82.037499999999994</v>
      </c>
      <c r="V35" s="733"/>
    </row>
    <row r="36" spans="1:22" ht="18" thickTop="1">
      <c r="V36" s="733"/>
    </row>
    <row r="37" spans="1:22">
      <c r="V37" s="733"/>
    </row>
    <row r="38" spans="1:22">
      <c r="B38" s="792" t="s">
        <v>640</v>
      </c>
      <c r="C38" s="793"/>
      <c r="D38" s="794" t="str">
        <f>B1</f>
        <v>Maschinenkostenkalkulation für Mähdrescher (220 kW ) mit Schneidwerk (7,5 m) und Strohhäcksler</v>
      </c>
      <c r="Q38" s="745" t="s">
        <v>629</v>
      </c>
      <c r="R38" s="157" t="str">
        <f>E6</f>
        <v>ha</v>
      </c>
      <c r="T38" s="745" t="s">
        <v>628</v>
      </c>
      <c r="U38" s="157" t="str">
        <f>$E$3</f>
        <v>€</v>
      </c>
    </row>
    <row r="40" spans="1:22">
      <c r="B40" s="746" t="s">
        <v>624</v>
      </c>
      <c r="C40" s="747"/>
      <c r="D40" s="747"/>
      <c r="E40" s="747"/>
      <c r="F40" s="747"/>
      <c r="G40" s="747"/>
      <c r="H40" s="747"/>
      <c r="I40" s="747"/>
      <c r="J40" s="747"/>
      <c r="L40" s="746" t="s">
        <v>625</v>
      </c>
      <c r="M40" s="747"/>
      <c r="N40" s="747"/>
      <c r="O40" s="747"/>
      <c r="P40" s="747"/>
      <c r="Q40" s="747"/>
      <c r="R40" s="747"/>
      <c r="S40" s="747"/>
      <c r="T40" s="747"/>
    </row>
    <row r="57" spans="2:20">
      <c r="B57" s="746" t="s">
        <v>627</v>
      </c>
      <c r="C57" s="747"/>
      <c r="D57" s="747"/>
      <c r="E57" s="747"/>
      <c r="F57" s="747"/>
      <c r="G57" s="747"/>
      <c r="H57" s="747"/>
      <c r="I57" s="747"/>
      <c r="J57" s="747"/>
      <c r="L57" s="746" t="s">
        <v>626</v>
      </c>
      <c r="M57" s="747"/>
      <c r="N57" s="747"/>
      <c r="O57" s="747"/>
      <c r="P57" s="747"/>
      <c r="Q57" s="747"/>
      <c r="R57" s="747"/>
      <c r="S57" s="747"/>
      <c r="T57" s="747"/>
    </row>
  </sheetData>
  <phoneticPr fontId="5" type="noConversion"/>
  <printOptions gridLinesSet="0"/>
  <pageMargins left="0.59055118110236227" right="0.59055118110236227" top="0.78740157480314965" bottom="0.59055118110236227" header="0.31496062992125984" footer="0.39370078740157483"/>
  <pageSetup paperSize="9" scale="75" fitToHeight="2" orientation="landscape" blackAndWhite="1" horizontalDpi="4294967292" verticalDpi="300" r:id="rId1"/>
  <headerFooter alignWithMargins="0">
    <oddFooter>&amp;L&amp;8Kosten dauerhafter Produktionsmittel&amp;R&amp;9&amp;P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transitionEntry="1" codeName="Tabelle10">
    <pageSetUpPr fitToPage="1"/>
  </sheetPr>
  <dimension ref="A1:V57"/>
  <sheetViews>
    <sheetView showGridLines="0" zoomScale="115" zoomScaleNormal="115" workbookViewId="0"/>
  </sheetViews>
  <sheetFormatPr baseColWidth="10" defaultColWidth="9.5546875" defaultRowHeight="17.399999999999999"/>
  <cols>
    <col min="1" max="1" width="1.5546875" style="686" customWidth="1"/>
    <col min="2" max="2" width="14.21875" style="688" customWidth="1"/>
    <col min="3" max="3" width="4.44140625" style="688" customWidth="1"/>
    <col min="4" max="4" width="11.44140625" style="688" customWidth="1"/>
    <col min="5" max="5" width="6.5546875" style="688" customWidth="1"/>
    <col min="6" max="21" width="8.5546875" style="688" customWidth="1"/>
    <col min="22" max="22" width="2.5546875" style="688" customWidth="1"/>
    <col min="23" max="16384" width="9.5546875" style="688"/>
  </cols>
  <sheetData>
    <row r="1" spans="2:22">
      <c r="B1" s="687" t="s">
        <v>930</v>
      </c>
      <c r="F1" s="689"/>
    </row>
    <row r="2" spans="2:22" ht="18" thickBot="1">
      <c r="B2" s="857" t="s">
        <v>11</v>
      </c>
    </row>
    <row r="3" spans="2:22" ht="18" thickTop="1">
      <c r="B3" s="691" t="s">
        <v>1160</v>
      </c>
      <c r="C3" s="692"/>
      <c r="D3" s="692"/>
      <c r="E3" s="693" t="s">
        <v>27</v>
      </c>
      <c r="F3" s="694">
        <v>500000</v>
      </c>
      <c r="G3" s="695"/>
      <c r="H3" s="692" t="s">
        <v>1154</v>
      </c>
      <c r="I3" s="692"/>
      <c r="J3" s="692"/>
      <c r="K3" s="692"/>
      <c r="L3" s="696"/>
      <c r="M3" s="692"/>
      <c r="N3" s="697" t="s">
        <v>630</v>
      </c>
      <c r="O3" s="692"/>
      <c r="P3" s="692"/>
      <c r="Q3" s="692"/>
      <c r="R3" s="692"/>
      <c r="S3" s="692"/>
      <c r="T3" s="692"/>
      <c r="U3" s="698"/>
    </row>
    <row r="4" spans="2:22">
      <c r="B4" s="699" t="s">
        <v>1161</v>
      </c>
      <c r="C4" s="700"/>
      <c r="D4" s="700"/>
      <c r="E4" s="158" t="str">
        <f>E3</f>
        <v>€</v>
      </c>
      <c r="F4" s="702">
        <v>50000</v>
      </c>
      <c r="G4" s="703" t="s">
        <v>92</v>
      </c>
      <c r="I4" s="704" t="s">
        <v>1119</v>
      </c>
      <c r="J4" s="665" t="str">
        <f>$E$3&amp;"/Einh."</f>
        <v>€/Einh.</v>
      </c>
      <c r="K4" s="705" t="s">
        <v>1120</v>
      </c>
      <c r="L4" s="683" t="str">
        <f>$E$3&amp;"/"&amp;$E$6</f>
        <v>€/ha</v>
      </c>
      <c r="N4" s="706" t="s">
        <v>1246</v>
      </c>
      <c r="U4" s="707"/>
    </row>
    <row r="5" spans="2:22">
      <c r="B5" s="699" t="s">
        <v>1162</v>
      </c>
      <c r="C5" s="700"/>
      <c r="D5" s="700"/>
      <c r="E5" s="701" t="s">
        <v>65</v>
      </c>
      <c r="F5" s="702">
        <v>10</v>
      </c>
      <c r="G5" s="703"/>
      <c r="H5" s="708" t="s">
        <v>1121</v>
      </c>
      <c r="I5" s="709" t="s">
        <v>1122</v>
      </c>
      <c r="J5" s="710">
        <v>0.8</v>
      </c>
      <c r="K5" s="710">
        <v>17</v>
      </c>
      <c r="L5" s="684">
        <f>K5*J5</f>
        <v>13.600000000000001</v>
      </c>
      <c r="M5" s="711"/>
      <c r="N5" s="712" t="s">
        <v>631</v>
      </c>
      <c r="O5" s="711"/>
      <c r="P5" s="711"/>
      <c r="Q5" s="711"/>
      <c r="R5" s="711"/>
      <c r="S5" s="711"/>
      <c r="T5" s="711"/>
      <c r="U5" s="713"/>
    </row>
    <row r="6" spans="2:22">
      <c r="B6" s="699" t="s">
        <v>818</v>
      </c>
      <c r="C6" s="700"/>
      <c r="D6" s="700"/>
      <c r="E6" s="754" t="s">
        <v>61</v>
      </c>
      <c r="F6" s="702">
        <v>6000</v>
      </c>
      <c r="G6" s="703"/>
      <c r="H6" s="708" t="s">
        <v>1123</v>
      </c>
      <c r="I6" s="709" t="s">
        <v>1122</v>
      </c>
      <c r="J6" s="710">
        <v>3</v>
      </c>
      <c r="K6" s="710">
        <f>K5*1%</f>
        <v>0.17</v>
      </c>
      <c r="L6" s="684">
        <f>K6*J6</f>
        <v>0.51</v>
      </c>
      <c r="M6" s="711"/>
      <c r="N6" s="715" t="s">
        <v>632</v>
      </c>
      <c r="O6" s="711"/>
      <c r="P6" s="711"/>
      <c r="Q6" s="711"/>
      <c r="R6" s="711"/>
      <c r="S6" s="711"/>
      <c r="T6" s="711"/>
      <c r="U6" s="713"/>
    </row>
    <row r="7" spans="2:22">
      <c r="B7" s="716" t="s">
        <v>620</v>
      </c>
      <c r="C7" s="700"/>
      <c r="D7" s="700"/>
      <c r="E7" s="701" t="s">
        <v>1163</v>
      </c>
      <c r="F7" s="749">
        <v>0.03</v>
      </c>
      <c r="G7" s="718"/>
      <c r="H7" s="719" t="s">
        <v>1124</v>
      </c>
      <c r="I7" s="720"/>
      <c r="J7" s="721"/>
      <c r="K7" s="721"/>
      <c r="L7" s="685">
        <f>SUM(L5:L6)</f>
        <v>14.110000000000001</v>
      </c>
      <c r="M7" s="711"/>
      <c r="N7" s="712" t="s">
        <v>633</v>
      </c>
      <c r="O7" s="711"/>
      <c r="P7" s="711"/>
      <c r="Q7" s="711"/>
      <c r="R7" s="711"/>
      <c r="S7" s="711"/>
      <c r="T7" s="711"/>
      <c r="U7" s="713"/>
    </row>
    <row r="8" spans="2:22">
      <c r="B8" s="716" t="s">
        <v>634</v>
      </c>
      <c r="E8" s="158" t="str">
        <f>E6&amp;"/Jahr"</f>
        <v>ha/Jahr</v>
      </c>
      <c r="F8" s="159">
        <f>F6/F5</f>
        <v>600</v>
      </c>
      <c r="L8" s="722"/>
      <c r="U8" s="707"/>
    </row>
    <row r="9" spans="2:22">
      <c r="B9" s="723" t="s">
        <v>1125</v>
      </c>
      <c r="C9" s="724"/>
      <c r="D9" s="725">
        <v>40</v>
      </c>
      <c r="E9" s="666" t="str">
        <f>$E$6</f>
        <v>ha</v>
      </c>
      <c r="F9" s="726">
        <v>40</v>
      </c>
      <c r="G9" s="667">
        <f t="shared" ref="G9:U9" si="0">F9+$D$9</f>
        <v>80</v>
      </c>
      <c r="H9" s="667">
        <f t="shared" si="0"/>
        <v>120</v>
      </c>
      <c r="I9" s="667">
        <f t="shared" si="0"/>
        <v>160</v>
      </c>
      <c r="J9" s="667">
        <f t="shared" si="0"/>
        <v>200</v>
      </c>
      <c r="K9" s="667">
        <f t="shared" si="0"/>
        <v>240</v>
      </c>
      <c r="L9" s="667">
        <f t="shared" si="0"/>
        <v>280</v>
      </c>
      <c r="M9" s="667">
        <f t="shared" si="0"/>
        <v>320</v>
      </c>
      <c r="N9" s="667">
        <f t="shared" si="0"/>
        <v>360</v>
      </c>
      <c r="O9" s="667">
        <f t="shared" si="0"/>
        <v>400</v>
      </c>
      <c r="P9" s="667">
        <f t="shared" si="0"/>
        <v>440</v>
      </c>
      <c r="Q9" s="667">
        <f t="shared" si="0"/>
        <v>480</v>
      </c>
      <c r="R9" s="667">
        <f t="shared" si="0"/>
        <v>520</v>
      </c>
      <c r="S9" s="667">
        <f t="shared" si="0"/>
        <v>560</v>
      </c>
      <c r="T9" s="667">
        <f t="shared" si="0"/>
        <v>600</v>
      </c>
      <c r="U9" s="668">
        <f t="shared" si="0"/>
        <v>640</v>
      </c>
    </row>
    <row r="10" spans="2:22">
      <c r="B10" s="716" t="s">
        <v>361</v>
      </c>
      <c r="C10" s="727"/>
      <c r="D10" s="727"/>
      <c r="E10" s="701"/>
      <c r="F10" s="750">
        <f t="shared" ref="F10:U10" si="1">F9/$F$8</f>
        <v>6.6666666666666666E-2</v>
      </c>
      <c r="G10" s="750">
        <f t="shared" si="1"/>
        <v>0.13333333333333333</v>
      </c>
      <c r="H10" s="750">
        <f t="shared" si="1"/>
        <v>0.2</v>
      </c>
      <c r="I10" s="750">
        <f t="shared" si="1"/>
        <v>0.26666666666666666</v>
      </c>
      <c r="J10" s="750">
        <f t="shared" si="1"/>
        <v>0.33333333333333331</v>
      </c>
      <c r="K10" s="750">
        <f t="shared" si="1"/>
        <v>0.4</v>
      </c>
      <c r="L10" s="750">
        <f t="shared" si="1"/>
        <v>0.46666666666666667</v>
      </c>
      <c r="M10" s="750">
        <f t="shared" si="1"/>
        <v>0.53333333333333333</v>
      </c>
      <c r="N10" s="750">
        <f t="shared" si="1"/>
        <v>0.6</v>
      </c>
      <c r="O10" s="750">
        <f t="shared" si="1"/>
        <v>0.66666666666666663</v>
      </c>
      <c r="P10" s="750">
        <f t="shared" si="1"/>
        <v>0.73333333333333328</v>
      </c>
      <c r="Q10" s="750">
        <f t="shared" si="1"/>
        <v>0.8</v>
      </c>
      <c r="R10" s="750">
        <f t="shared" si="1"/>
        <v>0.8666666666666667</v>
      </c>
      <c r="S10" s="750">
        <f t="shared" si="1"/>
        <v>0.93333333333333335</v>
      </c>
      <c r="T10" s="750">
        <f t="shared" si="1"/>
        <v>1</v>
      </c>
      <c r="U10" s="751">
        <f t="shared" si="1"/>
        <v>1.0666666666666667</v>
      </c>
    </row>
    <row r="11" spans="2:22" ht="18" thickBot="1">
      <c r="B11" s="774" t="s">
        <v>362</v>
      </c>
      <c r="C11" s="775"/>
      <c r="D11" s="776" t="s">
        <v>611</v>
      </c>
      <c r="E11" s="777">
        <v>0.5</v>
      </c>
      <c r="F11" s="778">
        <f t="shared" ref="F11:U11" si="2">IF(F10&gt;=1,1,F10^$E$11)</f>
        <v>0.2581988897471611</v>
      </c>
      <c r="G11" s="778">
        <f t="shared" si="2"/>
        <v>0.36514837167011072</v>
      </c>
      <c r="H11" s="778">
        <f t="shared" si="2"/>
        <v>0.44721359549995793</v>
      </c>
      <c r="I11" s="778">
        <f t="shared" si="2"/>
        <v>0.5163977794943222</v>
      </c>
      <c r="J11" s="778">
        <f t="shared" si="2"/>
        <v>0.57735026918962573</v>
      </c>
      <c r="K11" s="778">
        <f t="shared" si="2"/>
        <v>0.63245553203367588</v>
      </c>
      <c r="L11" s="778">
        <f t="shared" si="2"/>
        <v>0.68313005106397318</v>
      </c>
      <c r="M11" s="778">
        <f t="shared" si="2"/>
        <v>0.73029674334022143</v>
      </c>
      <c r="N11" s="778">
        <f t="shared" si="2"/>
        <v>0.7745966692414834</v>
      </c>
      <c r="O11" s="778">
        <f t="shared" si="2"/>
        <v>0.81649658092772603</v>
      </c>
      <c r="P11" s="778">
        <f t="shared" si="2"/>
        <v>0.85634883857767519</v>
      </c>
      <c r="Q11" s="778">
        <f t="shared" si="2"/>
        <v>0.89442719099991586</v>
      </c>
      <c r="R11" s="778">
        <f t="shared" si="2"/>
        <v>0.93094933625126275</v>
      </c>
      <c r="S11" s="778">
        <f t="shared" si="2"/>
        <v>0.96609178307929588</v>
      </c>
      <c r="T11" s="778">
        <f t="shared" si="2"/>
        <v>1</v>
      </c>
      <c r="U11" s="779">
        <f t="shared" si="2"/>
        <v>1</v>
      </c>
    </row>
    <row r="12" spans="2:22" ht="18" thickTop="1">
      <c r="B12" s="716"/>
      <c r="C12" s="727"/>
      <c r="D12" s="727"/>
      <c r="E12" s="701"/>
      <c r="F12" s="752"/>
      <c r="G12" s="752"/>
      <c r="H12" s="752"/>
      <c r="I12" s="752"/>
      <c r="J12" s="752"/>
      <c r="K12" s="752"/>
      <c r="L12" s="752"/>
      <c r="M12" s="752"/>
      <c r="N12" s="752"/>
      <c r="O12" s="752"/>
      <c r="P12" s="752"/>
      <c r="Q12" s="752"/>
      <c r="R12" s="752"/>
      <c r="S12" s="752"/>
      <c r="T12" s="752"/>
      <c r="U12" s="753"/>
    </row>
    <row r="13" spans="2:22">
      <c r="B13" s="730" t="s">
        <v>1167</v>
      </c>
      <c r="E13" s="701" t="s">
        <v>92</v>
      </c>
      <c r="F13" s="722"/>
      <c r="G13" s="722"/>
      <c r="H13" s="722"/>
      <c r="I13" s="722"/>
      <c r="J13" s="722"/>
      <c r="K13" s="722"/>
      <c r="L13" s="722"/>
      <c r="M13" s="722"/>
      <c r="N13" s="722"/>
      <c r="O13" s="722"/>
      <c r="P13" s="722"/>
      <c r="Q13" s="722"/>
      <c r="R13" s="722"/>
      <c r="S13" s="722"/>
      <c r="T13" s="722"/>
      <c r="U13" s="707"/>
    </row>
    <row r="14" spans="2:22">
      <c r="B14" s="731" t="s">
        <v>622</v>
      </c>
      <c r="D14" s="732" t="s">
        <v>363</v>
      </c>
      <c r="E14" s="158" t="str">
        <f>$E$3&amp;"/J"</f>
        <v>€/J</v>
      </c>
      <c r="F14" s="677">
        <f t="shared" ref="F14:U14" si="3">IF(F9&lt;=$F$8,($F$3-$F$4)/$F$5,0)</f>
        <v>45000</v>
      </c>
      <c r="G14" s="677">
        <f t="shared" si="3"/>
        <v>45000</v>
      </c>
      <c r="H14" s="677">
        <f t="shared" si="3"/>
        <v>45000</v>
      </c>
      <c r="I14" s="677">
        <f t="shared" si="3"/>
        <v>45000</v>
      </c>
      <c r="J14" s="677">
        <f t="shared" si="3"/>
        <v>45000</v>
      </c>
      <c r="K14" s="677">
        <f t="shared" si="3"/>
        <v>45000</v>
      </c>
      <c r="L14" s="677">
        <f t="shared" si="3"/>
        <v>45000</v>
      </c>
      <c r="M14" s="677">
        <f t="shared" si="3"/>
        <v>45000</v>
      </c>
      <c r="N14" s="677">
        <f t="shared" si="3"/>
        <v>45000</v>
      </c>
      <c r="O14" s="677">
        <f t="shared" si="3"/>
        <v>45000</v>
      </c>
      <c r="P14" s="677">
        <f t="shared" si="3"/>
        <v>45000</v>
      </c>
      <c r="Q14" s="677">
        <f t="shared" si="3"/>
        <v>45000</v>
      </c>
      <c r="R14" s="677">
        <f t="shared" si="3"/>
        <v>45000</v>
      </c>
      <c r="S14" s="677">
        <f t="shared" si="3"/>
        <v>45000</v>
      </c>
      <c r="T14" s="677">
        <f t="shared" si="3"/>
        <v>45000</v>
      </c>
      <c r="U14" s="678">
        <f t="shared" si="3"/>
        <v>0</v>
      </c>
      <c r="V14" s="733"/>
    </row>
    <row r="15" spans="2:22">
      <c r="B15" s="755"/>
      <c r="C15" s="756"/>
      <c r="D15" s="756"/>
      <c r="E15" s="757" t="str">
        <f>$E$3&amp;"/"&amp;$E$6</f>
        <v>€/ha</v>
      </c>
      <c r="F15" s="758">
        <f t="shared" ref="F15:U15" si="4">F14/F9</f>
        <v>1125</v>
      </c>
      <c r="G15" s="758">
        <f t="shared" si="4"/>
        <v>562.5</v>
      </c>
      <c r="H15" s="758">
        <f t="shared" si="4"/>
        <v>375</v>
      </c>
      <c r="I15" s="758">
        <f t="shared" si="4"/>
        <v>281.25</v>
      </c>
      <c r="J15" s="758">
        <f t="shared" si="4"/>
        <v>225</v>
      </c>
      <c r="K15" s="758">
        <f t="shared" si="4"/>
        <v>187.5</v>
      </c>
      <c r="L15" s="758">
        <f t="shared" si="4"/>
        <v>160.71428571428572</v>
      </c>
      <c r="M15" s="758">
        <f t="shared" si="4"/>
        <v>140.625</v>
      </c>
      <c r="N15" s="758">
        <f t="shared" si="4"/>
        <v>125</v>
      </c>
      <c r="O15" s="758">
        <f t="shared" si="4"/>
        <v>112.5</v>
      </c>
      <c r="P15" s="758">
        <f t="shared" si="4"/>
        <v>102.27272727272727</v>
      </c>
      <c r="Q15" s="758">
        <f t="shared" si="4"/>
        <v>93.75</v>
      </c>
      <c r="R15" s="758">
        <f t="shared" si="4"/>
        <v>86.538461538461533</v>
      </c>
      <c r="S15" s="758">
        <f t="shared" si="4"/>
        <v>80.357142857142861</v>
      </c>
      <c r="T15" s="758">
        <f t="shared" si="4"/>
        <v>75</v>
      </c>
      <c r="U15" s="759">
        <f t="shared" si="4"/>
        <v>0</v>
      </c>
      <c r="V15" s="733"/>
    </row>
    <row r="16" spans="2:22">
      <c r="B16" s="699" t="s">
        <v>843</v>
      </c>
      <c r="C16" s="733"/>
      <c r="D16" s="735" t="s">
        <v>621</v>
      </c>
      <c r="E16" s="158" t="str">
        <f>$E$3&amp;"/J"</f>
        <v>€/J</v>
      </c>
      <c r="F16" s="677">
        <f t="shared" ref="F16:U16" si="5">$F$7*($F$3+$F$4)/2</f>
        <v>8250</v>
      </c>
      <c r="G16" s="677">
        <f t="shared" si="5"/>
        <v>8250</v>
      </c>
      <c r="H16" s="677">
        <f t="shared" si="5"/>
        <v>8250</v>
      </c>
      <c r="I16" s="677">
        <f t="shared" si="5"/>
        <v>8250</v>
      </c>
      <c r="J16" s="677">
        <f t="shared" si="5"/>
        <v>8250</v>
      </c>
      <c r="K16" s="677">
        <f t="shared" si="5"/>
        <v>8250</v>
      </c>
      <c r="L16" s="677">
        <f t="shared" si="5"/>
        <v>8250</v>
      </c>
      <c r="M16" s="677">
        <f t="shared" si="5"/>
        <v>8250</v>
      </c>
      <c r="N16" s="677">
        <f t="shared" si="5"/>
        <v>8250</v>
      </c>
      <c r="O16" s="677">
        <f t="shared" si="5"/>
        <v>8250</v>
      </c>
      <c r="P16" s="677">
        <f t="shared" si="5"/>
        <v>8250</v>
      </c>
      <c r="Q16" s="677">
        <f t="shared" si="5"/>
        <v>8250</v>
      </c>
      <c r="R16" s="677">
        <f t="shared" si="5"/>
        <v>8250</v>
      </c>
      <c r="S16" s="677">
        <f t="shared" si="5"/>
        <v>8250</v>
      </c>
      <c r="T16" s="677">
        <f t="shared" si="5"/>
        <v>8250</v>
      </c>
      <c r="U16" s="678">
        <f t="shared" si="5"/>
        <v>8250</v>
      </c>
      <c r="V16" s="733"/>
    </row>
    <row r="17" spans="1:22">
      <c r="B17" s="760"/>
      <c r="C17" s="761"/>
      <c r="D17" s="756"/>
      <c r="E17" s="757" t="str">
        <f>$E$3&amp;"/"&amp;$E$6</f>
        <v>€/ha</v>
      </c>
      <c r="F17" s="758">
        <f t="shared" ref="F17:U17" si="6">F16/F9</f>
        <v>206.25</v>
      </c>
      <c r="G17" s="758">
        <f t="shared" si="6"/>
        <v>103.125</v>
      </c>
      <c r="H17" s="758">
        <f t="shared" si="6"/>
        <v>68.75</v>
      </c>
      <c r="I17" s="758">
        <f t="shared" si="6"/>
        <v>51.5625</v>
      </c>
      <c r="J17" s="758">
        <f t="shared" si="6"/>
        <v>41.25</v>
      </c>
      <c r="K17" s="758">
        <f t="shared" si="6"/>
        <v>34.375</v>
      </c>
      <c r="L17" s="758">
        <f t="shared" si="6"/>
        <v>29.464285714285715</v>
      </c>
      <c r="M17" s="758">
        <f t="shared" si="6"/>
        <v>25.78125</v>
      </c>
      <c r="N17" s="758">
        <f t="shared" si="6"/>
        <v>22.916666666666668</v>
      </c>
      <c r="O17" s="758">
        <f t="shared" si="6"/>
        <v>20.625</v>
      </c>
      <c r="P17" s="758">
        <f t="shared" si="6"/>
        <v>18.75</v>
      </c>
      <c r="Q17" s="758">
        <f t="shared" si="6"/>
        <v>17.1875</v>
      </c>
      <c r="R17" s="758">
        <f t="shared" si="6"/>
        <v>15.865384615384615</v>
      </c>
      <c r="S17" s="758">
        <f t="shared" si="6"/>
        <v>14.732142857142858</v>
      </c>
      <c r="T17" s="758">
        <f t="shared" si="6"/>
        <v>13.75</v>
      </c>
      <c r="U17" s="759">
        <f t="shared" si="6"/>
        <v>12.890625</v>
      </c>
      <c r="V17" s="733"/>
    </row>
    <row r="18" spans="1:22">
      <c r="B18" s="699" t="s">
        <v>94</v>
      </c>
      <c r="D18" s="748">
        <f>0.25%*F3</f>
        <v>1250</v>
      </c>
      <c r="E18" s="158" t="str">
        <f>$E$3&amp;"/J"</f>
        <v>€/J</v>
      </c>
      <c r="F18" s="677">
        <f t="shared" ref="F18:U18" si="7">$D$18</f>
        <v>1250</v>
      </c>
      <c r="G18" s="677">
        <f t="shared" si="7"/>
        <v>1250</v>
      </c>
      <c r="H18" s="677">
        <f t="shared" si="7"/>
        <v>1250</v>
      </c>
      <c r="I18" s="677">
        <f t="shared" si="7"/>
        <v>1250</v>
      </c>
      <c r="J18" s="677">
        <f t="shared" si="7"/>
        <v>1250</v>
      </c>
      <c r="K18" s="677">
        <f t="shared" si="7"/>
        <v>1250</v>
      </c>
      <c r="L18" s="677">
        <f t="shared" si="7"/>
        <v>1250</v>
      </c>
      <c r="M18" s="677">
        <f t="shared" si="7"/>
        <v>1250</v>
      </c>
      <c r="N18" s="677">
        <f t="shared" si="7"/>
        <v>1250</v>
      </c>
      <c r="O18" s="677">
        <f t="shared" si="7"/>
        <v>1250</v>
      </c>
      <c r="P18" s="677">
        <f t="shared" si="7"/>
        <v>1250</v>
      </c>
      <c r="Q18" s="677">
        <f t="shared" si="7"/>
        <v>1250</v>
      </c>
      <c r="R18" s="677">
        <f t="shared" si="7"/>
        <v>1250</v>
      </c>
      <c r="S18" s="677">
        <f t="shared" si="7"/>
        <v>1250</v>
      </c>
      <c r="T18" s="677">
        <f t="shared" si="7"/>
        <v>1250</v>
      </c>
      <c r="U18" s="678">
        <f t="shared" si="7"/>
        <v>1250</v>
      </c>
      <c r="V18" s="733"/>
    </row>
    <row r="19" spans="1:22">
      <c r="B19" s="760"/>
      <c r="C19" s="756"/>
      <c r="D19" s="761"/>
      <c r="E19" s="757" t="str">
        <f>$E$3&amp;"/"&amp;$E$6</f>
        <v>€/ha</v>
      </c>
      <c r="F19" s="758">
        <f t="shared" ref="F19:U19" si="8">F18/F9</f>
        <v>31.25</v>
      </c>
      <c r="G19" s="758">
        <f t="shared" si="8"/>
        <v>15.625</v>
      </c>
      <c r="H19" s="758">
        <f t="shared" si="8"/>
        <v>10.416666666666666</v>
      </c>
      <c r="I19" s="758">
        <f t="shared" si="8"/>
        <v>7.8125</v>
      </c>
      <c r="J19" s="758">
        <f t="shared" si="8"/>
        <v>6.25</v>
      </c>
      <c r="K19" s="758">
        <f t="shared" si="8"/>
        <v>5.208333333333333</v>
      </c>
      <c r="L19" s="758">
        <f t="shared" si="8"/>
        <v>4.4642857142857144</v>
      </c>
      <c r="M19" s="758">
        <f t="shared" si="8"/>
        <v>3.90625</v>
      </c>
      <c r="N19" s="758">
        <f t="shared" si="8"/>
        <v>3.4722222222222223</v>
      </c>
      <c r="O19" s="758">
        <f t="shared" si="8"/>
        <v>3.125</v>
      </c>
      <c r="P19" s="758">
        <f t="shared" si="8"/>
        <v>2.8409090909090908</v>
      </c>
      <c r="Q19" s="758">
        <f t="shared" si="8"/>
        <v>2.6041666666666665</v>
      </c>
      <c r="R19" s="758">
        <f t="shared" si="8"/>
        <v>2.4038461538461537</v>
      </c>
      <c r="S19" s="758">
        <f t="shared" si="8"/>
        <v>2.2321428571428572</v>
      </c>
      <c r="T19" s="758">
        <f t="shared" si="8"/>
        <v>2.0833333333333335</v>
      </c>
      <c r="U19" s="759">
        <f t="shared" si="8"/>
        <v>1.953125</v>
      </c>
      <c r="V19" s="733"/>
    </row>
    <row r="20" spans="1:22">
      <c r="B20" s="699" t="s">
        <v>91</v>
      </c>
      <c r="D20" s="748">
        <f>0.1%*F3</f>
        <v>500</v>
      </c>
      <c r="E20" s="158" t="str">
        <f>$E$3&amp;"/J"</f>
        <v>€/J</v>
      </c>
      <c r="F20" s="677">
        <f t="shared" ref="F20:U20" si="9">$D$20</f>
        <v>500</v>
      </c>
      <c r="G20" s="677">
        <f t="shared" si="9"/>
        <v>500</v>
      </c>
      <c r="H20" s="677">
        <f t="shared" si="9"/>
        <v>500</v>
      </c>
      <c r="I20" s="677">
        <f t="shared" si="9"/>
        <v>500</v>
      </c>
      <c r="J20" s="677">
        <f t="shared" si="9"/>
        <v>500</v>
      </c>
      <c r="K20" s="677">
        <f t="shared" si="9"/>
        <v>500</v>
      </c>
      <c r="L20" s="677">
        <f t="shared" si="9"/>
        <v>500</v>
      </c>
      <c r="M20" s="677">
        <f t="shared" si="9"/>
        <v>500</v>
      </c>
      <c r="N20" s="677">
        <f t="shared" si="9"/>
        <v>500</v>
      </c>
      <c r="O20" s="677">
        <f t="shared" si="9"/>
        <v>500</v>
      </c>
      <c r="P20" s="677">
        <f t="shared" si="9"/>
        <v>500</v>
      </c>
      <c r="Q20" s="677">
        <f t="shared" si="9"/>
        <v>500</v>
      </c>
      <c r="R20" s="677">
        <f t="shared" si="9"/>
        <v>500</v>
      </c>
      <c r="S20" s="677">
        <f t="shared" si="9"/>
        <v>500</v>
      </c>
      <c r="T20" s="677">
        <f t="shared" si="9"/>
        <v>500</v>
      </c>
      <c r="U20" s="678">
        <f t="shared" si="9"/>
        <v>500</v>
      </c>
      <c r="V20" s="733"/>
    </row>
    <row r="21" spans="1:22">
      <c r="B21" s="766"/>
      <c r="C21" s="767"/>
      <c r="D21" s="767"/>
      <c r="E21" s="768" t="str">
        <f>$E$3&amp;"/"&amp;$E$6</f>
        <v>€/ha</v>
      </c>
      <c r="F21" s="769">
        <f t="shared" ref="F21:U21" si="10">F20/F9</f>
        <v>12.5</v>
      </c>
      <c r="G21" s="769">
        <f t="shared" si="10"/>
        <v>6.25</v>
      </c>
      <c r="H21" s="769">
        <f t="shared" si="10"/>
        <v>4.166666666666667</v>
      </c>
      <c r="I21" s="769">
        <f t="shared" si="10"/>
        <v>3.125</v>
      </c>
      <c r="J21" s="769">
        <f t="shared" si="10"/>
        <v>2.5</v>
      </c>
      <c r="K21" s="769">
        <f t="shared" si="10"/>
        <v>2.0833333333333335</v>
      </c>
      <c r="L21" s="769">
        <f t="shared" si="10"/>
        <v>1.7857142857142858</v>
      </c>
      <c r="M21" s="769">
        <f t="shared" si="10"/>
        <v>1.5625</v>
      </c>
      <c r="N21" s="769">
        <f t="shared" si="10"/>
        <v>1.3888888888888888</v>
      </c>
      <c r="O21" s="769">
        <f t="shared" si="10"/>
        <v>1.25</v>
      </c>
      <c r="P21" s="769">
        <f t="shared" si="10"/>
        <v>1.1363636363636365</v>
      </c>
      <c r="Q21" s="769">
        <f t="shared" si="10"/>
        <v>1.0416666666666667</v>
      </c>
      <c r="R21" s="769">
        <f t="shared" si="10"/>
        <v>0.96153846153846156</v>
      </c>
      <c r="S21" s="769">
        <f t="shared" si="10"/>
        <v>0.8928571428571429</v>
      </c>
      <c r="T21" s="769">
        <f t="shared" si="10"/>
        <v>0.83333333333333337</v>
      </c>
      <c r="U21" s="770">
        <f t="shared" si="10"/>
        <v>0.78125</v>
      </c>
      <c r="V21" s="733"/>
    </row>
    <row r="22" spans="1:22">
      <c r="B22" s="737" t="s">
        <v>635</v>
      </c>
      <c r="C22" s="700"/>
      <c r="D22" s="700"/>
      <c r="E22" s="160" t="str">
        <f>$E$3&amp;"/J"</f>
        <v>€/J</v>
      </c>
      <c r="F22" s="679">
        <f t="shared" ref="F22:U22" si="11">F14+F16+F18+F20</f>
        <v>55000</v>
      </c>
      <c r="G22" s="679">
        <f t="shared" si="11"/>
        <v>55000</v>
      </c>
      <c r="H22" s="679">
        <f t="shared" si="11"/>
        <v>55000</v>
      </c>
      <c r="I22" s="679">
        <f t="shared" si="11"/>
        <v>55000</v>
      </c>
      <c r="J22" s="679">
        <f t="shared" si="11"/>
        <v>55000</v>
      </c>
      <c r="K22" s="679">
        <f t="shared" si="11"/>
        <v>55000</v>
      </c>
      <c r="L22" s="679">
        <f t="shared" si="11"/>
        <v>55000</v>
      </c>
      <c r="M22" s="679">
        <f t="shared" si="11"/>
        <v>55000</v>
      </c>
      <c r="N22" s="679">
        <f t="shared" si="11"/>
        <v>55000</v>
      </c>
      <c r="O22" s="679">
        <f t="shared" si="11"/>
        <v>55000</v>
      </c>
      <c r="P22" s="679">
        <f t="shared" si="11"/>
        <v>55000</v>
      </c>
      <c r="Q22" s="679">
        <f t="shared" si="11"/>
        <v>55000</v>
      </c>
      <c r="R22" s="679">
        <f t="shared" si="11"/>
        <v>55000</v>
      </c>
      <c r="S22" s="679">
        <f t="shared" si="11"/>
        <v>55000</v>
      </c>
      <c r="T22" s="679">
        <f t="shared" si="11"/>
        <v>55000</v>
      </c>
      <c r="U22" s="680">
        <f t="shared" si="11"/>
        <v>10000</v>
      </c>
      <c r="V22" s="733"/>
    </row>
    <row r="23" spans="1:22" ht="18" thickBot="1">
      <c r="B23" s="782"/>
      <c r="C23" s="775"/>
      <c r="D23" s="775"/>
      <c r="E23" s="783" t="str">
        <f>$E$3&amp;"/"&amp;$E$6</f>
        <v>€/ha</v>
      </c>
      <c r="F23" s="784">
        <f t="shared" ref="F23:U23" si="12">F15+F17+F19+F21</f>
        <v>1375</v>
      </c>
      <c r="G23" s="784">
        <f t="shared" si="12"/>
        <v>687.5</v>
      </c>
      <c r="H23" s="784">
        <f t="shared" si="12"/>
        <v>458.33333333333337</v>
      </c>
      <c r="I23" s="784">
        <f t="shared" si="12"/>
        <v>343.75</v>
      </c>
      <c r="J23" s="784">
        <f t="shared" si="12"/>
        <v>275</v>
      </c>
      <c r="K23" s="784">
        <f t="shared" si="12"/>
        <v>229.16666666666669</v>
      </c>
      <c r="L23" s="784">
        <f t="shared" si="12"/>
        <v>196.42857142857144</v>
      </c>
      <c r="M23" s="784">
        <f t="shared" si="12"/>
        <v>171.875</v>
      </c>
      <c r="N23" s="784">
        <f t="shared" si="12"/>
        <v>152.77777777777777</v>
      </c>
      <c r="O23" s="784">
        <f t="shared" si="12"/>
        <v>137.5</v>
      </c>
      <c r="P23" s="784">
        <f t="shared" si="12"/>
        <v>125</v>
      </c>
      <c r="Q23" s="784">
        <f t="shared" si="12"/>
        <v>114.58333333333334</v>
      </c>
      <c r="R23" s="784">
        <f t="shared" si="12"/>
        <v>105.76923076923077</v>
      </c>
      <c r="S23" s="784">
        <f t="shared" si="12"/>
        <v>98.214285714285722</v>
      </c>
      <c r="T23" s="784">
        <f t="shared" si="12"/>
        <v>91.666666666666657</v>
      </c>
      <c r="U23" s="785">
        <f t="shared" si="12"/>
        <v>15.625</v>
      </c>
      <c r="V23" s="733"/>
    </row>
    <row r="24" spans="1:22" ht="25.2" thickTop="1">
      <c r="A24" s="738"/>
      <c r="B24" s="730" t="s">
        <v>1170</v>
      </c>
      <c r="E24" s="722"/>
      <c r="F24" s="739" t="s">
        <v>92</v>
      </c>
      <c r="G24" s="739" t="s">
        <v>92</v>
      </c>
      <c r="H24" s="739" t="s">
        <v>92</v>
      </c>
      <c r="I24" s="739" t="s">
        <v>92</v>
      </c>
      <c r="J24" s="739" t="s">
        <v>92</v>
      </c>
      <c r="K24" s="739" t="s">
        <v>92</v>
      </c>
      <c r="L24" s="739" t="s">
        <v>92</v>
      </c>
      <c r="M24" s="739" t="s">
        <v>92</v>
      </c>
      <c r="N24" s="739" t="s">
        <v>92</v>
      </c>
      <c r="O24" s="739" t="s">
        <v>92</v>
      </c>
      <c r="P24" s="739" t="s">
        <v>92</v>
      </c>
      <c r="Q24" s="739" t="s">
        <v>92</v>
      </c>
      <c r="R24" s="739" t="s">
        <v>92</v>
      </c>
      <c r="S24" s="739" t="s">
        <v>92</v>
      </c>
      <c r="T24" s="739" t="s">
        <v>92</v>
      </c>
      <c r="U24" s="740" t="s">
        <v>92</v>
      </c>
      <c r="V24" s="733"/>
    </row>
    <row r="25" spans="1:22">
      <c r="B25" s="734" t="s">
        <v>623</v>
      </c>
      <c r="D25" s="732" t="s">
        <v>364</v>
      </c>
      <c r="E25" s="158" t="str">
        <f>$E$3&amp;"/"&amp;$E$6</f>
        <v>€/ha</v>
      </c>
      <c r="F25" s="681">
        <f t="shared" ref="F25:U25" si="13">IF(F9&gt;$F$8,($F$3-$F$4)/$F$6,0)</f>
        <v>0</v>
      </c>
      <c r="G25" s="681">
        <f t="shared" si="13"/>
        <v>0</v>
      </c>
      <c r="H25" s="681">
        <f t="shared" si="13"/>
        <v>0</v>
      </c>
      <c r="I25" s="681">
        <f t="shared" si="13"/>
        <v>0</v>
      </c>
      <c r="J25" s="681">
        <f t="shared" si="13"/>
        <v>0</v>
      </c>
      <c r="K25" s="681">
        <f t="shared" si="13"/>
        <v>0</v>
      </c>
      <c r="L25" s="681">
        <f t="shared" si="13"/>
        <v>0</v>
      </c>
      <c r="M25" s="681">
        <f t="shared" si="13"/>
        <v>0</v>
      </c>
      <c r="N25" s="681">
        <f t="shared" si="13"/>
        <v>0</v>
      </c>
      <c r="O25" s="681">
        <f t="shared" si="13"/>
        <v>0</v>
      </c>
      <c r="P25" s="681">
        <f t="shared" si="13"/>
        <v>0</v>
      </c>
      <c r="Q25" s="681">
        <f t="shared" si="13"/>
        <v>0</v>
      </c>
      <c r="R25" s="681">
        <f t="shared" si="13"/>
        <v>0</v>
      </c>
      <c r="S25" s="681">
        <f t="shared" si="13"/>
        <v>0</v>
      </c>
      <c r="T25" s="681">
        <f t="shared" si="13"/>
        <v>0</v>
      </c>
      <c r="U25" s="682">
        <f t="shared" si="13"/>
        <v>75</v>
      </c>
      <c r="V25" s="733"/>
    </row>
    <row r="26" spans="1:22">
      <c r="B26" s="762"/>
      <c r="C26" s="756"/>
      <c r="D26" s="756"/>
      <c r="E26" s="757" t="str">
        <f>$E$3&amp;"/J"</f>
        <v>€/J</v>
      </c>
      <c r="F26" s="763">
        <f t="shared" ref="F26:U26" si="14">IF(F9&gt;$F$8,($F$3-$F$4)/$F$6*F9,0)</f>
        <v>0</v>
      </c>
      <c r="G26" s="763">
        <f t="shared" si="14"/>
        <v>0</v>
      </c>
      <c r="H26" s="763">
        <f t="shared" si="14"/>
        <v>0</v>
      </c>
      <c r="I26" s="763">
        <f t="shared" si="14"/>
        <v>0</v>
      </c>
      <c r="J26" s="763">
        <f t="shared" si="14"/>
        <v>0</v>
      </c>
      <c r="K26" s="763">
        <f t="shared" si="14"/>
        <v>0</v>
      </c>
      <c r="L26" s="763">
        <f t="shared" si="14"/>
        <v>0</v>
      </c>
      <c r="M26" s="763">
        <f t="shared" si="14"/>
        <v>0</v>
      </c>
      <c r="N26" s="763">
        <f t="shared" si="14"/>
        <v>0</v>
      </c>
      <c r="O26" s="763">
        <f t="shared" si="14"/>
        <v>0</v>
      </c>
      <c r="P26" s="763">
        <f t="shared" si="14"/>
        <v>0</v>
      </c>
      <c r="Q26" s="763">
        <f t="shared" si="14"/>
        <v>0</v>
      </c>
      <c r="R26" s="763">
        <f t="shared" si="14"/>
        <v>0</v>
      </c>
      <c r="S26" s="763">
        <f t="shared" si="14"/>
        <v>0</v>
      </c>
      <c r="T26" s="763">
        <f t="shared" si="14"/>
        <v>0</v>
      </c>
      <c r="U26" s="764">
        <f t="shared" si="14"/>
        <v>48000</v>
      </c>
      <c r="V26" s="733"/>
    </row>
    <row r="27" spans="1:22">
      <c r="B27" s="736" t="s">
        <v>819</v>
      </c>
      <c r="D27" s="741">
        <v>26</v>
      </c>
      <c r="E27" s="158" t="str">
        <f>$E$3&amp;"/"&amp;$E$6</f>
        <v>€/ha</v>
      </c>
      <c r="F27" s="681">
        <f t="shared" ref="F27:U27" si="15">$D$27*F11</f>
        <v>6.7131711334261883</v>
      </c>
      <c r="G27" s="681">
        <f t="shared" si="15"/>
        <v>9.4938576634228795</v>
      </c>
      <c r="H27" s="681">
        <f t="shared" si="15"/>
        <v>11.627553482998906</v>
      </c>
      <c r="I27" s="681">
        <f t="shared" si="15"/>
        <v>13.426342266852377</v>
      </c>
      <c r="J27" s="681">
        <f t="shared" si="15"/>
        <v>15.01110699893027</v>
      </c>
      <c r="K27" s="681">
        <f t="shared" si="15"/>
        <v>16.443843832875572</v>
      </c>
      <c r="L27" s="681">
        <f t="shared" si="15"/>
        <v>17.761381327663301</v>
      </c>
      <c r="M27" s="681">
        <f t="shared" si="15"/>
        <v>18.987715326845759</v>
      </c>
      <c r="N27" s="681">
        <f t="shared" si="15"/>
        <v>20.139513400278567</v>
      </c>
      <c r="O27" s="681">
        <f t="shared" si="15"/>
        <v>21.228911104120876</v>
      </c>
      <c r="P27" s="681">
        <f t="shared" si="15"/>
        <v>22.265069803019554</v>
      </c>
      <c r="Q27" s="681">
        <f t="shared" si="15"/>
        <v>23.255106965997811</v>
      </c>
      <c r="R27" s="681">
        <f t="shared" si="15"/>
        <v>24.204682742532832</v>
      </c>
      <c r="S27" s="681">
        <f t="shared" si="15"/>
        <v>25.118386360061692</v>
      </c>
      <c r="T27" s="681">
        <f t="shared" si="15"/>
        <v>26</v>
      </c>
      <c r="U27" s="682">
        <f t="shared" si="15"/>
        <v>26</v>
      </c>
      <c r="V27" s="733"/>
    </row>
    <row r="28" spans="1:22">
      <c r="B28" s="762"/>
      <c r="C28" s="765" t="s">
        <v>92</v>
      </c>
      <c r="D28" s="756"/>
      <c r="E28" s="757" t="str">
        <f>$E$3&amp;"/J"</f>
        <v>€/J</v>
      </c>
      <c r="F28" s="763">
        <f t="shared" ref="F28:U28" si="16">F27*F9</f>
        <v>268.52684533704752</v>
      </c>
      <c r="G28" s="763">
        <f t="shared" si="16"/>
        <v>759.50861307383036</v>
      </c>
      <c r="H28" s="763">
        <f t="shared" si="16"/>
        <v>1395.3064179598687</v>
      </c>
      <c r="I28" s="763">
        <f t="shared" si="16"/>
        <v>2148.2147626963801</v>
      </c>
      <c r="J28" s="763">
        <f t="shared" si="16"/>
        <v>3002.221399786054</v>
      </c>
      <c r="K28" s="763">
        <f t="shared" si="16"/>
        <v>3946.5225198901371</v>
      </c>
      <c r="L28" s="763">
        <f t="shared" si="16"/>
        <v>4973.1867717457244</v>
      </c>
      <c r="M28" s="763">
        <f t="shared" si="16"/>
        <v>6076.0689045906429</v>
      </c>
      <c r="N28" s="763">
        <f t="shared" si="16"/>
        <v>7250.2248241002844</v>
      </c>
      <c r="O28" s="763">
        <f t="shared" si="16"/>
        <v>8491.5644416483501</v>
      </c>
      <c r="P28" s="763">
        <f t="shared" si="16"/>
        <v>9796.6307133286027</v>
      </c>
      <c r="Q28" s="763">
        <f t="shared" si="16"/>
        <v>11162.451343678949</v>
      </c>
      <c r="R28" s="763">
        <f t="shared" si="16"/>
        <v>12586.435026117073</v>
      </c>
      <c r="S28" s="763">
        <f t="shared" si="16"/>
        <v>14066.296361634548</v>
      </c>
      <c r="T28" s="763">
        <f t="shared" si="16"/>
        <v>15600</v>
      </c>
      <c r="U28" s="764">
        <f t="shared" si="16"/>
        <v>16640</v>
      </c>
      <c r="V28" s="733"/>
    </row>
    <row r="29" spans="1:22">
      <c r="B29" s="736" t="s">
        <v>1154</v>
      </c>
      <c r="D29" s="703" t="s">
        <v>92</v>
      </c>
      <c r="E29" s="158" t="str">
        <f>$E$3&amp;"/"&amp;$E$6</f>
        <v>€/ha</v>
      </c>
      <c r="F29" s="681">
        <f t="shared" ref="F29:U29" si="17">$L$7</f>
        <v>14.110000000000001</v>
      </c>
      <c r="G29" s="681">
        <f t="shared" si="17"/>
        <v>14.110000000000001</v>
      </c>
      <c r="H29" s="681">
        <f t="shared" si="17"/>
        <v>14.110000000000001</v>
      </c>
      <c r="I29" s="681">
        <f t="shared" si="17"/>
        <v>14.110000000000001</v>
      </c>
      <c r="J29" s="681">
        <f t="shared" si="17"/>
        <v>14.110000000000001</v>
      </c>
      <c r="K29" s="681">
        <f t="shared" si="17"/>
        <v>14.110000000000001</v>
      </c>
      <c r="L29" s="681">
        <f t="shared" si="17"/>
        <v>14.110000000000001</v>
      </c>
      <c r="M29" s="681">
        <f t="shared" si="17"/>
        <v>14.110000000000001</v>
      </c>
      <c r="N29" s="681">
        <f t="shared" si="17"/>
        <v>14.110000000000001</v>
      </c>
      <c r="O29" s="681">
        <f t="shared" si="17"/>
        <v>14.110000000000001</v>
      </c>
      <c r="P29" s="681">
        <f t="shared" si="17"/>
        <v>14.110000000000001</v>
      </c>
      <c r="Q29" s="681">
        <f t="shared" si="17"/>
        <v>14.110000000000001</v>
      </c>
      <c r="R29" s="681">
        <f t="shared" si="17"/>
        <v>14.110000000000001</v>
      </c>
      <c r="S29" s="681">
        <f t="shared" si="17"/>
        <v>14.110000000000001</v>
      </c>
      <c r="T29" s="681">
        <f t="shared" si="17"/>
        <v>14.110000000000001</v>
      </c>
      <c r="U29" s="682">
        <f t="shared" si="17"/>
        <v>14.110000000000001</v>
      </c>
      <c r="V29" s="733"/>
    </row>
    <row r="30" spans="1:22">
      <c r="B30" s="771"/>
      <c r="C30" s="767"/>
      <c r="D30" s="767"/>
      <c r="E30" s="768" t="str">
        <f>$E$3&amp;"/J"</f>
        <v>€/J</v>
      </c>
      <c r="F30" s="772">
        <f t="shared" ref="F30:U30" si="18">F29*F9</f>
        <v>564.40000000000009</v>
      </c>
      <c r="G30" s="772">
        <f t="shared" si="18"/>
        <v>1128.8000000000002</v>
      </c>
      <c r="H30" s="772">
        <f t="shared" si="18"/>
        <v>1693.2</v>
      </c>
      <c r="I30" s="772">
        <f t="shared" si="18"/>
        <v>2257.6000000000004</v>
      </c>
      <c r="J30" s="772">
        <f t="shared" si="18"/>
        <v>2822.0000000000005</v>
      </c>
      <c r="K30" s="772">
        <f t="shared" si="18"/>
        <v>3386.4</v>
      </c>
      <c r="L30" s="772">
        <f t="shared" si="18"/>
        <v>3950.8</v>
      </c>
      <c r="M30" s="772">
        <f t="shared" si="18"/>
        <v>4515.2000000000007</v>
      </c>
      <c r="N30" s="772">
        <f t="shared" si="18"/>
        <v>5079.6000000000004</v>
      </c>
      <c r="O30" s="772">
        <f t="shared" si="18"/>
        <v>5644.0000000000009</v>
      </c>
      <c r="P30" s="772">
        <f t="shared" si="18"/>
        <v>6208.4000000000005</v>
      </c>
      <c r="Q30" s="772">
        <f t="shared" si="18"/>
        <v>6772.8</v>
      </c>
      <c r="R30" s="772">
        <f t="shared" si="18"/>
        <v>7337.2000000000007</v>
      </c>
      <c r="S30" s="772">
        <f t="shared" si="18"/>
        <v>7901.6</v>
      </c>
      <c r="T30" s="772">
        <f t="shared" si="18"/>
        <v>8466</v>
      </c>
      <c r="U30" s="773">
        <f t="shared" si="18"/>
        <v>9030.4000000000015</v>
      </c>
      <c r="V30" s="733"/>
    </row>
    <row r="31" spans="1:22">
      <c r="B31" s="737" t="s">
        <v>636</v>
      </c>
      <c r="C31" s="700"/>
      <c r="D31" s="700"/>
      <c r="E31" s="160" t="str">
        <f>$E$3&amp;"/"&amp;$E$6</f>
        <v>€/ha</v>
      </c>
      <c r="F31" s="673">
        <f t="shared" ref="F31:U31" si="19">F29+F27+F25</f>
        <v>20.82317113342619</v>
      </c>
      <c r="G31" s="673">
        <f t="shared" si="19"/>
        <v>23.603857663422879</v>
      </c>
      <c r="H31" s="673">
        <f t="shared" si="19"/>
        <v>25.737553482998905</v>
      </c>
      <c r="I31" s="673">
        <f t="shared" si="19"/>
        <v>27.53634226685238</v>
      </c>
      <c r="J31" s="673">
        <f t="shared" si="19"/>
        <v>29.121106998930273</v>
      </c>
      <c r="K31" s="673">
        <f t="shared" si="19"/>
        <v>30.553843832875572</v>
      </c>
      <c r="L31" s="673">
        <f t="shared" si="19"/>
        <v>31.8713813276633</v>
      </c>
      <c r="M31" s="673">
        <f t="shared" si="19"/>
        <v>33.097715326845758</v>
      </c>
      <c r="N31" s="673">
        <f t="shared" si="19"/>
        <v>34.249513400278566</v>
      </c>
      <c r="O31" s="673">
        <f t="shared" si="19"/>
        <v>35.338911104120875</v>
      </c>
      <c r="P31" s="673">
        <f t="shared" si="19"/>
        <v>36.375069803019557</v>
      </c>
      <c r="Q31" s="673">
        <f t="shared" si="19"/>
        <v>37.365106965997811</v>
      </c>
      <c r="R31" s="673">
        <f t="shared" si="19"/>
        <v>38.314682742532831</v>
      </c>
      <c r="S31" s="673">
        <f t="shared" si="19"/>
        <v>39.228386360061691</v>
      </c>
      <c r="T31" s="673">
        <f t="shared" si="19"/>
        <v>40.11</v>
      </c>
      <c r="U31" s="674">
        <f t="shared" si="19"/>
        <v>115.11</v>
      </c>
      <c r="V31" s="733"/>
    </row>
    <row r="32" spans="1:22" ht="18" thickBot="1">
      <c r="B32" s="782"/>
      <c r="C32" s="775"/>
      <c r="D32" s="775"/>
      <c r="E32" s="783" t="str">
        <f>$E$3&amp;"/J"</f>
        <v>€/J</v>
      </c>
      <c r="F32" s="786">
        <f t="shared" ref="F32:U32" si="20">F30+F28+F26</f>
        <v>832.92684533704755</v>
      </c>
      <c r="G32" s="786">
        <f t="shared" si="20"/>
        <v>1888.3086130738307</v>
      </c>
      <c r="H32" s="786">
        <f t="shared" si="20"/>
        <v>3088.5064179598685</v>
      </c>
      <c r="I32" s="786">
        <f t="shared" si="20"/>
        <v>4405.8147626963801</v>
      </c>
      <c r="J32" s="786">
        <f t="shared" si="20"/>
        <v>5824.2213997860545</v>
      </c>
      <c r="K32" s="786">
        <f t="shared" si="20"/>
        <v>7332.9225198901368</v>
      </c>
      <c r="L32" s="786">
        <f t="shared" si="20"/>
        <v>8923.9867717457237</v>
      </c>
      <c r="M32" s="786">
        <f t="shared" si="20"/>
        <v>10591.268904590645</v>
      </c>
      <c r="N32" s="786">
        <f t="shared" si="20"/>
        <v>12329.824824100284</v>
      </c>
      <c r="O32" s="786">
        <f t="shared" si="20"/>
        <v>14135.564441648352</v>
      </c>
      <c r="P32" s="786">
        <f t="shared" si="20"/>
        <v>16005.030713328604</v>
      </c>
      <c r="Q32" s="786">
        <f t="shared" si="20"/>
        <v>17935.251343678949</v>
      </c>
      <c r="R32" s="786">
        <f t="shared" si="20"/>
        <v>19923.635026117074</v>
      </c>
      <c r="S32" s="786">
        <f t="shared" si="20"/>
        <v>21967.89636163455</v>
      </c>
      <c r="T32" s="786">
        <f t="shared" si="20"/>
        <v>24066</v>
      </c>
      <c r="U32" s="787">
        <f t="shared" si="20"/>
        <v>73670.399999999994</v>
      </c>
      <c r="V32" s="733"/>
    </row>
    <row r="33" spans="1:22" ht="25.2" thickTop="1">
      <c r="A33" s="738"/>
      <c r="B33" s="730" t="s">
        <v>1126</v>
      </c>
      <c r="E33" s="722"/>
      <c r="F33" s="742"/>
      <c r="G33" s="742"/>
      <c r="H33" s="742"/>
      <c r="I33" s="742"/>
      <c r="J33" s="742"/>
      <c r="K33" s="742"/>
      <c r="L33" s="742"/>
      <c r="M33" s="742"/>
      <c r="N33" s="742"/>
      <c r="O33" s="742"/>
      <c r="P33" s="742"/>
      <c r="Q33" s="742"/>
      <c r="R33" s="742"/>
      <c r="S33" s="742"/>
      <c r="T33" s="742"/>
      <c r="U33" s="743"/>
      <c r="V33" s="733"/>
    </row>
    <row r="34" spans="1:22">
      <c r="B34" s="737" t="s">
        <v>639</v>
      </c>
      <c r="C34" s="788"/>
      <c r="D34" s="790" t="s">
        <v>638</v>
      </c>
      <c r="E34" s="160" t="str">
        <f>$E$3&amp;"/J"</f>
        <v>€/J</v>
      </c>
      <c r="F34" s="679">
        <f t="shared" ref="F34:U34" si="21">F32+F22</f>
        <v>55832.926845337046</v>
      </c>
      <c r="G34" s="679">
        <f t="shared" si="21"/>
        <v>56888.30861307383</v>
      </c>
      <c r="H34" s="679">
        <f t="shared" si="21"/>
        <v>58088.50641795987</v>
      </c>
      <c r="I34" s="679">
        <f t="shared" si="21"/>
        <v>59405.814762696376</v>
      </c>
      <c r="J34" s="679">
        <f t="shared" si="21"/>
        <v>60824.221399786053</v>
      </c>
      <c r="K34" s="679">
        <f t="shared" si="21"/>
        <v>62332.92251989014</v>
      </c>
      <c r="L34" s="679">
        <f t="shared" si="21"/>
        <v>63923.986771745724</v>
      </c>
      <c r="M34" s="679">
        <f t="shared" si="21"/>
        <v>65591.268904590645</v>
      </c>
      <c r="N34" s="679">
        <f t="shared" si="21"/>
        <v>67329.824824100288</v>
      </c>
      <c r="O34" s="679">
        <f t="shared" si="21"/>
        <v>69135.564441648356</v>
      </c>
      <c r="P34" s="679">
        <f t="shared" si="21"/>
        <v>71005.030713328597</v>
      </c>
      <c r="Q34" s="679">
        <f t="shared" si="21"/>
        <v>72935.251343678945</v>
      </c>
      <c r="R34" s="679">
        <f t="shared" si="21"/>
        <v>74923.635026117074</v>
      </c>
      <c r="S34" s="679">
        <f t="shared" si="21"/>
        <v>76967.896361634543</v>
      </c>
      <c r="T34" s="679">
        <f t="shared" si="21"/>
        <v>79066</v>
      </c>
      <c r="U34" s="680">
        <f t="shared" si="21"/>
        <v>83670.399999999994</v>
      </c>
      <c r="V34" s="733"/>
    </row>
    <row r="35" spans="1:22" ht="18" thickBot="1">
      <c r="B35" s="744" t="s">
        <v>639</v>
      </c>
      <c r="C35" s="789"/>
      <c r="D35" s="791" t="str">
        <f>"je "&amp;E6</f>
        <v>je ha</v>
      </c>
      <c r="E35" s="161" t="str">
        <f>$E$3&amp;"/"&amp;$E$6</f>
        <v>€/ha</v>
      </c>
      <c r="F35" s="675">
        <f t="shared" ref="F35:U35" si="22">F31+F23</f>
        <v>1395.8231711334263</v>
      </c>
      <c r="G35" s="675">
        <f t="shared" si="22"/>
        <v>711.1038576634229</v>
      </c>
      <c r="H35" s="675">
        <f t="shared" si="22"/>
        <v>484.07088681633229</v>
      </c>
      <c r="I35" s="675">
        <f t="shared" si="22"/>
        <v>371.28634226685239</v>
      </c>
      <c r="J35" s="675">
        <f t="shared" si="22"/>
        <v>304.12110699893026</v>
      </c>
      <c r="K35" s="675">
        <f t="shared" si="22"/>
        <v>259.72051049954223</v>
      </c>
      <c r="L35" s="675">
        <f t="shared" si="22"/>
        <v>228.29995275623475</v>
      </c>
      <c r="M35" s="675">
        <f t="shared" si="22"/>
        <v>204.97271532684576</v>
      </c>
      <c r="N35" s="675">
        <f t="shared" si="22"/>
        <v>187.02729117805634</v>
      </c>
      <c r="O35" s="675">
        <f t="shared" si="22"/>
        <v>172.83891110412088</v>
      </c>
      <c r="P35" s="675">
        <f t="shared" si="22"/>
        <v>161.37506980301956</v>
      </c>
      <c r="Q35" s="675">
        <f t="shared" si="22"/>
        <v>151.94844029933114</v>
      </c>
      <c r="R35" s="675">
        <f t="shared" si="22"/>
        <v>144.0839135117636</v>
      </c>
      <c r="S35" s="675">
        <f t="shared" si="22"/>
        <v>137.4426720743474</v>
      </c>
      <c r="T35" s="675">
        <f t="shared" si="22"/>
        <v>131.77666666666664</v>
      </c>
      <c r="U35" s="676">
        <f t="shared" si="22"/>
        <v>130.73500000000001</v>
      </c>
      <c r="V35" s="733"/>
    </row>
    <row r="36" spans="1:22" ht="18" thickTop="1">
      <c r="V36" s="733"/>
    </row>
    <row r="37" spans="1:22">
      <c r="V37" s="733"/>
    </row>
    <row r="38" spans="1:22">
      <c r="B38" s="792" t="s">
        <v>640</v>
      </c>
      <c r="C38" s="793"/>
      <c r="D38" s="794" t="str">
        <f>B1</f>
        <v>Maschinenkostenkalkulation für Selbstfahr-Häcksler (250 kW) mit Maisgebiss 6-reihig</v>
      </c>
      <c r="Q38" s="745" t="s">
        <v>629</v>
      </c>
      <c r="R38" s="157" t="str">
        <f>E6</f>
        <v>ha</v>
      </c>
      <c r="T38" s="745" t="s">
        <v>628</v>
      </c>
      <c r="U38" s="157" t="str">
        <f>$E$3</f>
        <v>€</v>
      </c>
      <c r="V38" s="733"/>
    </row>
    <row r="40" spans="1:22">
      <c r="B40" s="746" t="s">
        <v>624</v>
      </c>
      <c r="C40" s="747"/>
      <c r="D40" s="747"/>
      <c r="E40" s="747"/>
      <c r="F40" s="747"/>
      <c r="G40" s="747"/>
      <c r="H40" s="747"/>
      <c r="I40" s="747"/>
      <c r="J40" s="747"/>
      <c r="L40" s="746" t="s">
        <v>625</v>
      </c>
      <c r="M40" s="747"/>
      <c r="N40" s="747"/>
      <c r="O40" s="747"/>
      <c r="P40" s="747"/>
      <c r="Q40" s="747"/>
      <c r="R40" s="747"/>
      <c r="S40" s="747"/>
      <c r="T40" s="747"/>
    </row>
    <row r="57" spans="2:20">
      <c r="B57" s="746" t="s">
        <v>627</v>
      </c>
      <c r="C57" s="747"/>
      <c r="D57" s="747"/>
      <c r="E57" s="747"/>
      <c r="F57" s="747"/>
      <c r="G57" s="747"/>
      <c r="H57" s="747"/>
      <c r="I57" s="747"/>
      <c r="J57" s="747"/>
      <c r="L57" s="746" t="s">
        <v>626</v>
      </c>
      <c r="M57" s="747"/>
      <c r="N57" s="747"/>
      <c r="O57" s="747"/>
      <c r="P57" s="747"/>
      <c r="Q57" s="747"/>
      <c r="R57" s="747"/>
      <c r="S57" s="747"/>
      <c r="T57" s="747"/>
    </row>
  </sheetData>
  <phoneticPr fontId="5" type="noConversion"/>
  <printOptions gridLinesSet="0"/>
  <pageMargins left="0.59055118110236227" right="0.59055118110236227" top="0.78740157480314965" bottom="0.59055118110236227" header="0.31496062992125984" footer="0.39370078740157483"/>
  <pageSetup paperSize="9" scale="75" fitToHeight="2" orientation="landscape" blackAndWhite="1" horizontalDpi="4294967292" verticalDpi="300" r:id="rId1"/>
  <headerFooter alignWithMargins="0">
    <oddFooter>&amp;L&amp;8Kosten dauerhafter Produktionsmittel&amp;R&amp;9&amp;P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4"/>
  <dimension ref="A1:S41"/>
  <sheetViews>
    <sheetView showGridLines="0" workbookViewId="0"/>
  </sheetViews>
  <sheetFormatPr baseColWidth="10" defaultColWidth="11.44140625" defaultRowHeight="13.8"/>
  <cols>
    <col min="1" max="1" width="1" style="25" customWidth="1"/>
    <col min="2" max="2" width="1" style="29" customWidth="1"/>
    <col min="3" max="4" width="2.44140625" style="29" customWidth="1"/>
    <col min="5" max="17" width="6.5546875" style="29" customWidth="1"/>
    <col min="18" max="19" width="9.5546875" style="29" customWidth="1"/>
    <col min="20" max="16384" width="11.44140625" style="29"/>
  </cols>
  <sheetData>
    <row r="1" spans="1:19" ht="19.2" thickBot="1">
      <c r="A1" s="89"/>
      <c r="C1" s="117" t="s">
        <v>821</v>
      </c>
      <c r="D1"/>
      <c r="E1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019" t="s">
        <v>935</v>
      </c>
      <c r="S1" s="1019"/>
    </row>
    <row r="2" spans="1:19" ht="18" thickTop="1">
      <c r="B2" s="142"/>
      <c r="C2" s="909" t="s">
        <v>1160</v>
      </c>
      <c r="D2" s="910"/>
      <c r="E2" s="910"/>
      <c r="F2" s="910"/>
      <c r="G2" s="910"/>
      <c r="H2" s="910"/>
      <c r="I2" s="910"/>
      <c r="J2" s="911"/>
      <c r="K2" s="911"/>
      <c r="L2" s="911"/>
      <c r="M2" s="1620"/>
      <c r="N2" s="1620"/>
      <c r="O2" s="912" t="s">
        <v>27</v>
      </c>
      <c r="P2" s="913"/>
      <c r="Q2"/>
      <c r="R2" s="1019" t="s">
        <v>934</v>
      </c>
      <c r="S2" s="1020">
        <f>Text!B1184</f>
        <v>13</v>
      </c>
    </row>
    <row r="3" spans="1:19" ht="17.399999999999999">
      <c r="B3" s="142"/>
      <c r="C3" s="914" t="s">
        <v>1161</v>
      </c>
      <c r="D3" s="915"/>
      <c r="E3" s="915"/>
      <c r="F3" s="915"/>
      <c r="G3" s="915"/>
      <c r="H3" s="915"/>
      <c r="I3" s="915"/>
      <c r="J3" s="916"/>
      <c r="K3" s="916"/>
      <c r="L3" s="916"/>
      <c r="M3" s="1621"/>
      <c r="N3" s="1621"/>
      <c r="O3" s="917" t="str">
        <f>$O$2</f>
        <v>€</v>
      </c>
      <c r="P3" s="918"/>
      <c r="Q3"/>
      <c r="R3" s="1019" t="s">
        <v>933</v>
      </c>
      <c r="S3" s="1019"/>
    </row>
    <row r="4" spans="1:19" ht="17.399999999999999">
      <c r="B4" s="142"/>
      <c r="C4" s="914" t="s">
        <v>1162</v>
      </c>
      <c r="D4" s="915"/>
      <c r="E4" s="915"/>
      <c r="F4" s="915"/>
      <c r="G4" s="915"/>
      <c r="H4" s="915"/>
      <c r="I4" s="915"/>
      <c r="J4" s="916"/>
      <c r="K4" s="916"/>
      <c r="L4" s="916"/>
      <c r="M4" s="1621"/>
      <c r="N4" s="1621"/>
      <c r="O4" s="917" t="s">
        <v>65</v>
      </c>
      <c r="P4" s="918"/>
      <c r="Q4"/>
    </row>
    <row r="5" spans="1:19" ht="17.399999999999999">
      <c r="B5" s="142"/>
      <c r="C5" s="914" t="s">
        <v>818</v>
      </c>
      <c r="D5" s="915"/>
      <c r="E5" s="915"/>
      <c r="F5" s="915"/>
      <c r="G5" s="915"/>
      <c r="H5" s="915"/>
      <c r="I5" s="915"/>
      <c r="J5" s="916"/>
      <c r="K5" s="916"/>
      <c r="L5" s="916"/>
      <c r="M5" s="1622"/>
      <c r="N5" s="1622"/>
      <c r="O5" s="919" t="s">
        <v>64</v>
      </c>
      <c r="P5" s="918"/>
      <c r="Q5"/>
    </row>
    <row r="6" spans="1:19" ht="17.399999999999999">
      <c r="B6" s="142"/>
      <c r="C6" s="914" t="s">
        <v>634</v>
      </c>
      <c r="D6" s="916"/>
      <c r="E6" s="916"/>
      <c r="F6" s="916"/>
      <c r="G6" s="916"/>
      <c r="H6" s="916"/>
      <c r="I6" s="916"/>
      <c r="J6" s="916"/>
      <c r="K6" s="916"/>
      <c r="L6" s="916"/>
      <c r="M6" s="1603">
        <f>IF(M4=0,0,M5/M4)</f>
        <v>0</v>
      </c>
      <c r="N6" s="1603"/>
      <c r="O6" s="917" t="str">
        <f>$O$5&amp;"/Jahr"</f>
        <v>h/Jahr</v>
      </c>
      <c r="P6" s="918"/>
      <c r="Q6"/>
    </row>
    <row r="7" spans="1:19" ht="17.399999999999999">
      <c r="B7" s="142"/>
      <c r="C7" s="914" t="s">
        <v>620</v>
      </c>
      <c r="D7" s="915"/>
      <c r="E7" s="915"/>
      <c r="F7" s="915"/>
      <c r="G7" s="915"/>
      <c r="H7" s="915"/>
      <c r="I7" s="915"/>
      <c r="J7" s="916"/>
      <c r="K7" s="916"/>
      <c r="L7" s="916"/>
      <c r="M7" s="1596"/>
      <c r="N7" s="1596"/>
      <c r="O7" s="917" t="s">
        <v>1163</v>
      </c>
      <c r="P7" s="918"/>
      <c r="Q7"/>
    </row>
    <row r="8" spans="1:19" ht="17.399999999999999">
      <c r="B8" s="142"/>
      <c r="C8" s="914" t="s">
        <v>1575</v>
      </c>
      <c r="D8" s="915"/>
      <c r="E8" s="915"/>
      <c r="F8" s="915"/>
      <c r="G8" s="915"/>
      <c r="H8" s="915"/>
      <c r="I8" s="915"/>
      <c r="J8" s="916"/>
      <c r="K8" s="916"/>
      <c r="L8" s="916"/>
      <c r="M8" s="1604"/>
      <c r="N8" s="1604"/>
      <c r="O8" s="917" t="s">
        <v>1169</v>
      </c>
      <c r="P8" s="918"/>
      <c r="Q8"/>
    </row>
    <row r="9" spans="1:19" ht="17.399999999999999">
      <c r="B9" s="142"/>
      <c r="C9" s="920" t="s">
        <v>1574</v>
      </c>
      <c r="D9" s="921"/>
      <c r="E9" s="921"/>
      <c r="F9" s="921"/>
      <c r="G9" s="921"/>
      <c r="H9" s="921"/>
      <c r="I9" s="921"/>
      <c r="J9" s="922"/>
      <c r="K9" s="922"/>
      <c r="L9" s="922"/>
      <c r="M9" s="1605"/>
      <c r="N9" s="1605"/>
      <c r="O9" s="923" t="s">
        <v>1169</v>
      </c>
      <c r="P9" s="924"/>
      <c r="Q9"/>
    </row>
    <row r="10" spans="1:19" ht="17.399999999999999">
      <c r="B10" s="142"/>
      <c r="C10" s="122" t="s">
        <v>649</v>
      </c>
      <c r="D10" s="15"/>
      <c r="E10" s="15"/>
      <c r="F10" s="15"/>
      <c r="G10" s="15"/>
      <c r="H10" s="15"/>
      <c r="I10" s="15"/>
      <c r="J10" s="15"/>
      <c r="K10" s="15"/>
      <c r="L10" s="15"/>
      <c r="M10" s="806"/>
      <c r="N10" s="806"/>
      <c r="O10" s="22"/>
      <c r="P10" s="123"/>
      <c r="Q10"/>
    </row>
    <row r="11" spans="1:19" ht="17.399999999999999">
      <c r="B11" s="142"/>
      <c r="C11" s="122"/>
      <c r="D11" s="801" t="s">
        <v>650</v>
      </c>
      <c r="E11" s="801"/>
      <c r="F11" s="925">
        <f>M5</f>
        <v>0</v>
      </c>
      <c r="G11" s="879" t="str">
        <f>$O$5&amp;"    =&gt;"</f>
        <v>h    =&gt;</v>
      </c>
      <c r="H11" s="926">
        <v>1</v>
      </c>
      <c r="I11" s="927" t="s">
        <v>610</v>
      </c>
      <c r="J11" s="879"/>
      <c r="K11" s="928"/>
      <c r="L11" s="879"/>
      <c r="M11" s="929"/>
      <c r="N11" s="930" t="s">
        <v>654</v>
      </c>
      <c r="O11" s="931"/>
      <c r="P11" s="932" t="str">
        <f>$O$2&amp;" / "&amp;$O$5</f>
        <v>€ / h</v>
      </c>
      <c r="Q11"/>
    </row>
    <row r="12" spans="1:19" ht="17.399999999999999">
      <c r="B12" s="142"/>
      <c r="C12" s="829"/>
      <c r="D12" s="933" t="s">
        <v>650</v>
      </c>
      <c r="E12" s="933"/>
      <c r="F12" s="934">
        <f>$M$17*$M$4</f>
        <v>0</v>
      </c>
      <c r="G12" s="922" t="str">
        <f>$O$5&amp;"    =&gt;"</f>
        <v>h    =&gt;</v>
      </c>
      <c r="H12" s="935">
        <f>IF(F11=0,0,F12/F11)</f>
        <v>0</v>
      </c>
      <c r="I12" s="936" t="s">
        <v>653</v>
      </c>
      <c r="J12" s="890"/>
      <c r="K12" s="890"/>
      <c r="L12" s="937" t="s">
        <v>652</v>
      </c>
      <c r="M12" s="938"/>
      <c r="N12" s="939" t="s">
        <v>654</v>
      </c>
      <c r="O12" s="940">
        <f>O11*M12</f>
        <v>0</v>
      </c>
      <c r="P12" s="941" t="str">
        <f>$O$2&amp;" / "&amp;$O$5</f>
        <v>€ / h</v>
      </c>
      <c r="Q12"/>
    </row>
    <row r="13" spans="1:19" ht="17.399999999999999">
      <c r="B13" s="142"/>
      <c r="C13" s="122" t="s">
        <v>1154</v>
      </c>
      <c r="D13" s="811"/>
      <c r="E13" s="811"/>
      <c r="F13" s="866"/>
      <c r="G13" s="867"/>
      <c r="H13" s="868"/>
      <c r="I13" s="867"/>
      <c r="J13" s="864"/>
      <c r="K13" s="864"/>
      <c r="L13" s="869"/>
      <c r="M13" s="816"/>
      <c r="N13" s="817"/>
      <c r="O13" s="818"/>
      <c r="P13" s="870"/>
      <c r="Q13"/>
    </row>
    <row r="14" spans="1:19" ht="17.399999999999999">
      <c r="B14" s="142"/>
      <c r="C14" s="122"/>
      <c r="D14" s="942" t="s">
        <v>1573</v>
      </c>
      <c r="E14" s="942"/>
      <c r="F14" s="943"/>
      <c r="G14" s="882"/>
      <c r="H14" s="882"/>
      <c r="I14" s="882"/>
      <c r="J14" s="944"/>
      <c r="K14" s="945" t="str">
        <f>"l / "&amp;$O$5&amp;"  × "</f>
        <v xml:space="preserve">l / h  × </v>
      </c>
      <c r="L14" s="944"/>
      <c r="M14" s="946" t="str">
        <f>$O$2&amp;" / l  ="</f>
        <v>€ / l  =</v>
      </c>
      <c r="N14" s="947">
        <f>J14*L14</f>
        <v>0</v>
      </c>
      <c r="O14" s="946" t="str">
        <f>$O$2&amp;" / "&amp;$O$5</f>
        <v>€ / h</v>
      </c>
      <c r="P14" s="948"/>
      <c r="Q14"/>
    </row>
    <row r="15" spans="1:19" ht="17.399999999999999">
      <c r="B15" s="142"/>
      <c r="C15" s="122"/>
      <c r="D15" s="949" t="s">
        <v>660</v>
      </c>
      <c r="E15" s="950"/>
      <c r="F15" s="951"/>
      <c r="G15" s="887"/>
      <c r="H15" s="887"/>
      <c r="I15" s="887"/>
      <c r="J15" s="952"/>
      <c r="K15" s="953" t="str">
        <f>"l / "&amp;$O$5&amp;"  × "</f>
        <v xml:space="preserve">l / h  × </v>
      </c>
      <c r="L15" s="952"/>
      <c r="M15" s="954" t="str">
        <f>$O$2&amp;" / l  ="</f>
        <v>€ / l  =</v>
      </c>
      <c r="N15" s="955">
        <f>J15*L15</f>
        <v>0</v>
      </c>
      <c r="O15" s="954" t="str">
        <f>$O$2&amp;" / "&amp;$O$5</f>
        <v>€ / h</v>
      </c>
      <c r="P15" s="956"/>
      <c r="Q15"/>
    </row>
    <row r="16" spans="1:19" ht="18" thickBot="1">
      <c r="B16" s="142"/>
      <c r="C16" s="871"/>
      <c r="D16" s="821"/>
      <c r="E16" s="821"/>
      <c r="F16" s="872"/>
      <c r="G16" s="873"/>
      <c r="H16" s="873"/>
      <c r="I16" s="873"/>
      <c r="J16" s="874"/>
      <c r="K16" s="874"/>
      <c r="L16" s="874"/>
      <c r="M16" s="873"/>
      <c r="N16" s="872"/>
      <c r="O16" s="873"/>
      <c r="P16" s="875"/>
      <c r="Q16"/>
    </row>
    <row r="17" spans="2:16" ht="18" thickTop="1">
      <c r="B17" s="142"/>
      <c r="C17" s="128" t="s">
        <v>1166</v>
      </c>
      <c r="D17" s="19"/>
      <c r="E17" s="19"/>
      <c r="F17" s="19"/>
      <c r="G17" s="19"/>
      <c r="H17" s="19"/>
      <c r="I17" s="19"/>
      <c r="J17" s="19"/>
      <c r="K17" s="19"/>
      <c r="L17" s="20" t="s">
        <v>64</v>
      </c>
      <c r="M17" s="1611"/>
      <c r="N17" s="1611"/>
      <c r="O17" s="1611"/>
      <c r="P17" s="1612"/>
    </row>
    <row r="18" spans="2:16" ht="17.399999999999999">
      <c r="B18" s="142"/>
      <c r="C18" s="132" t="s">
        <v>1167</v>
      </c>
      <c r="D18" s="15"/>
      <c r="E18" s="15"/>
      <c r="F18" s="15"/>
      <c r="G18" s="15"/>
      <c r="H18" s="15"/>
      <c r="I18" s="15"/>
      <c r="J18" s="15"/>
      <c r="K18" s="15"/>
      <c r="L18" s="876" t="s">
        <v>92</v>
      </c>
      <c r="M18" s="1613"/>
      <c r="N18" s="1613"/>
      <c r="O18" s="1613"/>
      <c r="P18" s="1614"/>
    </row>
    <row r="19" spans="2:16" ht="17.399999999999999">
      <c r="B19" s="142"/>
      <c r="C19" s="877"/>
      <c r="D19" s="15" t="s">
        <v>1168</v>
      </c>
      <c r="E19" s="95"/>
      <c r="F19" s="95"/>
      <c r="G19" s="15"/>
      <c r="H19" s="15"/>
      <c r="I19" s="8" t="s">
        <v>363</v>
      </c>
      <c r="J19" s="15"/>
      <c r="K19" s="15"/>
      <c r="L19" s="880" t="str">
        <f>$O$2&amp;"/J"</f>
        <v>€/J</v>
      </c>
      <c r="M19" s="1615">
        <f>IF(M17=0,0,IF(M17&lt;=$M$6,($M$2-$M$3)/$M$4,0))</f>
        <v>0</v>
      </c>
      <c r="N19" s="1615"/>
      <c r="O19" s="1615">
        <f>IF(O17=0,0,IF(O17&lt;=$M$6,($M$2-$M$3)/$M$4,0))</f>
        <v>0</v>
      </c>
      <c r="P19" s="1616"/>
    </row>
    <row r="20" spans="2:16" ht="17.399999999999999">
      <c r="B20" s="142"/>
      <c r="C20" s="878"/>
      <c r="D20" s="865"/>
      <c r="E20" s="830"/>
      <c r="F20" s="830"/>
      <c r="G20" s="865"/>
      <c r="H20" s="865"/>
      <c r="I20" s="865"/>
      <c r="J20" s="865"/>
      <c r="K20" s="865"/>
      <c r="L20" s="883" t="str">
        <f>$O$2&amp;"/"&amp;$O$5</f>
        <v>€/h</v>
      </c>
      <c r="M20" s="1617">
        <f>IF(M$17=0,0,M19/M$17)</f>
        <v>0</v>
      </c>
      <c r="N20" s="1617"/>
      <c r="O20" s="1617">
        <f>IF(O$17=0,0,O19/O$17)</f>
        <v>0</v>
      </c>
      <c r="P20" s="1618"/>
    </row>
    <row r="21" spans="2:16" ht="17.399999999999999">
      <c r="B21" s="142"/>
      <c r="C21" s="877"/>
      <c r="D21" s="15" t="s">
        <v>843</v>
      </c>
      <c r="E21" s="95"/>
      <c r="F21" s="133"/>
      <c r="G21" s="881"/>
      <c r="H21" s="8"/>
      <c r="I21" s="8" t="s">
        <v>641</v>
      </c>
      <c r="J21" s="15"/>
      <c r="K21" s="15"/>
      <c r="L21" s="957" t="str">
        <f>$O$2&amp;"/J"</f>
        <v>€/J</v>
      </c>
      <c r="M21" s="1601">
        <f>$M$7/100*($M$2+$M$3)/2</f>
        <v>0</v>
      </c>
      <c r="N21" s="1601"/>
      <c r="O21" s="1601">
        <f>$M$7/100*($M$2+$M$3)/2</f>
        <v>0</v>
      </c>
      <c r="P21" s="1628"/>
    </row>
    <row r="22" spans="2:16" ht="17.399999999999999">
      <c r="B22" s="142"/>
      <c r="C22" s="878"/>
      <c r="D22" s="865"/>
      <c r="E22" s="830"/>
      <c r="F22" s="830"/>
      <c r="G22" s="865"/>
      <c r="H22" s="865"/>
      <c r="I22" s="865"/>
      <c r="J22" s="865"/>
      <c r="K22" s="865"/>
      <c r="L22" s="958" t="str">
        <f>$O$2&amp;"/"&amp;$O$5</f>
        <v>€/h</v>
      </c>
      <c r="M22" s="1602">
        <f>IF(M$17=0,0,M21/M$17)</f>
        <v>0</v>
      </c>
      <c r="N22" s="1602"/>
      <c r="O22" s="1602">
        <f>IF(O$17=0,0,O21/O$17)</f>
        <v>0</v>
      </c>
      <c r="P22" s="1610"/>
    </row>
    <row r="23" spans="2:16" ht="17.399999999999999">
      <c r="B23" s="142"/>
      <c r="C23" s="877"/>
      <c r="D23" s="15" t="s">
        <v>94</v>
      </c>
      <c r="E23" s="95"/>
      <c r="F23" s="95"/>
      <c r="G23" s="14"/>
      <c r="H23" s="14"/>
      <c r="I23" s="908">
        <f>M8</f>
        <v>0</v>
      </c>
      <c r="J23" s="8" t="s">
        <v>1169</v>
      </c>
      <c r="K23" s="15"/>
      <c r="L23" s="880" t="str">
        <f>$O$2&amp;"/J"</f>
        <v>€/J</v>
      </c>
      <c r="M23" s="1615">
        <f>I23%*M2</f>
        <v>0</v>
      </c>
      <c r="N23" s="1615"/>
      <c r="O23" s="1615">
        <f>M23</f>
        <v>0</v>
      </c>
      <c r="P23" s="1616"/>
    </row>
    <row r="24" spans="2:16" ht="17.399999999999999">
      <c r="B24" s="142"/>
      <c r="C24" s="878"/>
      <c r="D24" s="865"/>
      <c r="E24" s="830"/>
      <c r="F24" s="830"/>
      <c r="G24" s="860"/>
      <c r="H24" s="860"/>
      <c r="I24" s="865"/>
      <c r="J24" s="865"/>
      <c r="K24" s="865"/>
      <c r="L24" s="958" t="str">
        <f>$O$2&amp;"/"&amp;$O$5</f>
        <v>€/h</v>
      </c>
      <c r="M24" s="1602">
        <f>IF(M$17=0,0,M23/M$17)</f>
        <v>0</v>
      </c>
      <c r="N24" s="1602"/>
      <c r="O24" s="1602">
        <f>IF(O$17=0,0,O23/O$17)</f>
        <v>0</v>
      </c>
      <c r="P24" s="1610"/>
    </row>
    <row r="25" spans="2:16" ht="17.399999999999999">
      <c r="B25" s="142"/>
      <c r="C25" s="877"/>
      <c r="D25" s="15" t="s">
        <v>91</v>
      </c>
      <c r="E25" s="95"/>
      <c r="F25" s="95"/>
      <c r="G25" s="14"/>
      <c r="H25" s="14"/>
      <c r="I25" s="908">
        <f>M9</f>
        <v>0</v>
      </c>
      <c r="J25" s="8" t="s">
        <v>1169</v>
      </c>
      <c r="K25" s="15"/>
      <c r="L25" s="880" t="str">
        <f>$O$2&amp;"/J"</f>
        <v>€/J</v>
      </c>
      <c r="M25" s="1615">
        <f>I25%*M2</f>
        <v>0</v>
      </c>
      <c r="N25" s="1615"/>
      <c r="O25" s="1615">
        <f>$I$25/100*$M$2</f>
        <v>0</v>
      </c>
      <c r="P25" s="1616"/>
    </row>
    <row r="26" spans="2:16" ht="18" thickBot="1">
      <c r="B26" s="142"/>
      <c r="C26" s="877"/>
      <c r="D26" s="802"/>
      <c r="E26" s="802"/>
      <c r="F26" s="802"/>
      <c r="G26" s="802"/>
      <c r="H26" s="802"/>
      <c r="I26" s="802"/>
      <c r="J26" s="802"/>
      <c r="K26" s="802"/>
      <c r="L26" s="960" t="str">
        <f>$O$2&amp;"/"&amp;$O$5</f>
        <v>€/h</v>
      </c>
      <c r="M26" s="1625">
        <f>IF(M$17=0,0,M25/M$17)</f>
        <v>0</v>
      </c>
      <c r="N26" s="1625"/>
      <c r="O26" s="1625">
        <f>IF(O$17=0,0,O25/O$17)</f>
        <v>0</v>
      </c>
      <c r="P26" s="1626"/>
    </row>
    <row r="27" spans="2:16" ht="18" thickTop="1">
      <c r="B27" s="142"/>
      <c r="C27" s="877"/>
      <c r="D27" s="16" t="s">
        <v>635</v>
      </c>
      <c r="E27" s="16"/>
      <c r="F27" s="16"/>
      <c r="G27" s="16"/>
      <c r="H27" s="16"/>
      <c r="I27" s="910" t="s">
        <v>638</v>
      </c>
      <c r="J27" s="910"/>
      <c r="K27" s="910"/>
      <c r="L27" s="959" t="str">
        <f>$O$2&amp;"/J"</f>
        <v>€/J</v>
      </c>
      <c r="M27" s="1592">
        <f>M19+M21+M23+M25</f>
        <v>0</v>
      </c>
      <c r="N27" s="1592"/>
      <c r="O27" s="1592">
        <f>O19+O21+O23+O25</f>
        <v>0</v>
      </c>
      <c r="P27" s="1593"/>
    </row>
    <row r="28" spans="2:16" ht="18" thickBot="1">
      <c r="B28" s="142"/>
      <c r="C28" s="961"/>
      <c r="D28" s="962"/>
      <c r="E28" s="962"/>
      <c r="F28" s="962"/>
      <c r="G28" s="962"/>
      <c r="H28" s="962"/>
      <c r="I28" s="962" t="str">
        <f>"je "&amp;$O$5</f>
        <v>je h</v>
      </c>
      <c r="J28" s="962"/>
      <c r="K28" s="962"/>
      <c r="L28" s="963" t="str">
        <f>$O$2&amp;"/"&amp;$O$5</f>
        <v>€/h</v>
      </c>
      <c r="M28" s="1600">
        <f>M20+M22+M24+M26</f>
        <v>0</v>
      </c>
      <c r="N28" s="1600"/>
      <c r="O28" s="1600">
        <f>O20+O22+O24+O26</f>
        <v>0</v>
      </c>
      <c r="P28" s="1627"/>
    </row>
    <row r="29" spans="2:16" ht="17.399999999999999">
      <c r="B29" s="142"/>
      <c r="C29" s="132" t="s">
        <v>1170</v>
      </c>
      <c r="D29" s="15"/>
      <c r="E29" s="15"/>
      <c r="F29" s="15"/>
      <c r="G29" s="15"/>
      <c r="H29" s="15"/>
      <c r="I29" s="15"/>
      <c r="J29" s="15"/>
      <c r="K29" s="15"/>
      <c r="L29" s="884"/>
      <c r="M29" s="1619" t="s">
        <v>92</v>
      </c>
      <c r="N29" s="1619"/>
      <c r="O29" s="1619" t="s">
        <v>92</v>
      </c>
      <c r="P29" s="1624"/>
    </row>
    <row r="30" spans="2:16" ht="17.399999999999999">
      <c r="B30" s="142"/>
      <c r="C30" s="877"/>
      <c r="D30" s="15" t="s">
        <v>95</v>
      </c>
      <c r="E30" s="15"/>
      <c r="F30" s="15"/>
      <c r="G30" s="8"/>
      <c r="H30" s="15"/>
      <c r="I30" s="8" t="s">
        <v>364</v>
      </c>
      <c r="J30" s="15"/>
      <c r="K30" s="15"/>
      <c r="L30" s="964" t="str">
        <f>$O$2&amp;"/"&amp;$O$5</f>
        <v>€/h</v>
      </c>
      <c r="M30" s="1597">
        <f>IF(M17&gt;$M$6,($M$2-$M$3)/$M$5,0)</f>
        <v>0</v>
      </c>
      <c r="N30" s="1597"/>
      <c r="O30" s="1597">
        <f>IF(O17&gt;$M$6,($M$2-$M$3)/$M$5,0)</f>
        <v>0</v>
      </c>
      <c r="P30" s="1623"/>
    </row>
    <row r="31" spans="2:16" ht="17.399999999999999">
      <c r="B31" s="142"/>
      <c r="C31" s="877"/>
      <c r="D31" s="865" t="s">
        <v>92</v>
      </c>
      <c r="E31" s="865"/>
      <c r="F31" s="865"/>
      <c r="G31" s="865"/>
      <c r="H31" s="865"/>
      <c r="I31" s="865"/>
      <c r="J31" s="865"/>
      <c r="K31" s="865"/>
      <c r="L31" s="965" t="str">
        <f t="shared" ref="L31:L37" si="0">$O$2&amp;"/J"</f>
        <v>€/J</v>
      </c>
      <c r="M31" s="1607">
        <f>M30*M17</f>
        <v>0</v>
      </c>
      <c r="N31" s="1607"/>
      <c r="O31" s="1607">
        <f>O30*O17</f>
        <v>0</v>
      </c>
      <c r="P31" s="1608"/>
    </row>
    <row r="32" spans="2:16" ht="17.399999999999999">
      <c r="B32" s="142"/>
      <c r="C32" s="877"/>
      <c r="D32" s="15" t="s">
        <v>819</v>
      </c>
      <c r="E32" s="15"/>
      <c r="F32" s="15"/>
      <c r="G32" s="15"/>
      <c r="H32" s="15"/>
      <c r="I32" s="15"/>
      <c r="J32" s="15"/>
      <c r="K32" s="15"/>
      <c r="L32" s="964" t="str">
        <f>$O$2&amp;"/"&amp;$O$5</f>
        <v>€/h</v>
      </c>
      <c r="M32" s="1597">
        <f>O12</f>
        <v>0</v>
      </c>
      <c r="N32" s="1597"/>
      <c r="O32" s="1597">
        <f>O11</f>
        <v>0</v>
      </c>
      <c r="P32" s="1623"/>
    </row>
    <row r="33" spans="2:16" ht="17.399999999999999">
      <c r="B33" s="142"/>
      <c r="C33" s="877"/>
      <c r="D33" s="865" t="s">
        <v>92</v>
      </c>
      <c r="E33" s="865"/>
      <c r="F33" s="865"/>
      <c r="G33" s="865"/>
      <c r="H33" s="865"/>
      <c r="I33" s="865"/>
      <c r="J33" s="865"/>
      <c r="K33" s="865"/>
      <c r="L33" s="965" t="str">
        <f t="shared" si="0"/>
        <v>€/J</v>
      </c>
      <c r="M33" s="1607">
        <f>M32*M17</f>
        <v>0</v>
      </c>
      <c r="N33" s="1607"/>
      <c r="O33" s="1607">
        <f>O32*O17</f>
        <v>0</v>
      </c>
      <c r="P33" s="1608"/>
    </row>
    <row r="34" spans="2:16" ht="17.399999999999999">
      <c r="B34" s="142"/>
      <c r="C34" s="877"/>
      <c r="D34" s="8" t="s">
        <v>1154</v>
      </c>
      <c r="E34" s="15"/>
      <c r="F34" s="15"/>
      <c r="G34" s="15"/>
      <c r="H34" s="15"/>
      <c r="I34" s="15"/>
      <c r="J34" s="15"/>
      <c r="K34" s="15"/>
      <c r="L34" s="964" t="str">
        <f>$O$2&amp;"/"&amp;$O$5</f>
        <v>€/h</v>
      </c>
      <c r="M34" s="1597">
        <f>N15+N14</f>
        <v>0</v>
      </c>
      <c r="N34" s="1597"/>
      <c r="O34" s="1597">
        <f>M34</f>
        <v>0</v>
      </c>
      <c r="P34" s="1623"/>
    </row>
    <row r="35" spans="2:16" ht="18" thickBot="1">
      <c r="B35" s="142"/>
      <c r="C35" s="877"/>
      <c r="D35" s="967" t="s">
        <v>659</v>
      </c>
      <c r="E35" s="802"/>
      <c r="F35" s="802"/>
      <c r="G35" s="802"/>
      <c r="H35" s="802"/>
      <c r="I35" s="802"/>
      <c r="J35" s="802"/>
      <c r="K35" s="802"/>
      <c r="L35" s="968" t="str">
        <f t="shared" si="0"/>
        <v>€/J</v>
      </c>
      <c r="M35" s="1598">
        <f>M34*M17</f>
        <v>0</v>
      </c>
      <c r="N35" s="1598"/>
      <c r="O35" s="1598">
        <f>O34*O17</f>
        <v>0</v>
      </c>
      <c r="P35" s="1609"/>
    </row>
    <row r="36" spans="2:16" ht="18" thickTop="1">
      <c r="B36" s="142"/>
      <c r="C36" s="877"/>
      <c r="D36" s="16" t="s">
        <v>636</v>
      </c>
      <c r="E36" s="16"/>
      <c r="F36" s="16"/>
      <c r="G36" s="16"/>
      <c r="H36" s="16"/>
      <c r="I36" s="910" t="str">
        <f>"je "&amp;$O$5</f>
        <v>je h</v>
      </c>
      <c r="J36" s="910"/>
      <c r="K36" s="910"/>
      <c r="L36" s="966" t="str">
        <f>$O$2&amp;"/"&amp;$O$5</f>
        <v>€/h</v>
      </c>
      <c r="M36" s="1599">
        <f>M34+M32+M30</f>
        <v>0</v>
      </c>
      <c r="N36" s="1599"/>
      <c r="O36" s="1599">
        <f>O34+O32+O30</f>
        <v>0</v>
      </c>
      <c r="P36" s="1606"/>
    </row>
    <row r="37" spans="2:16" ht="18" thickBot="1">
      <c r="B37" s="142"/>
      <c r="C37" s="961"/>
      <c r="D37" s="962"/>
      <c r="E37" s="962"/>
      <c r="F37" s="962"/>
      <c r="G37" s="962"/>
      <c r="H37" s="962"/>
      <c r="I37" s="962" t="s">
        <v>638</v>
      </c>
      <c r="J37" s="962"/>
      <c r="K37" s="962"/>
      <c r="L37" s="969" t="str">
        <f t="shared" si="0"/>
        <v>€/J</v>
      </c>
      <c r="M37" s="1588">
        <f>M35+M33+M31</f>
        <v>0</v>
      </c>
      <c r="N37" s="1588"/>
      <c r="O37" s="1588">
        <f>O35+O33+O31</f>
        <v>0</v>
      </c>
      <c r="P37" s="1589"/>
    </row>
    <row r="38" spans="2:16" ht="17.399999999999999">
      <c r="B38" s="142"/>
      <c r="C38" s="799" t="s">
        <v>1126</v>
      </c>
      <c r="D38" s="15"/>
      <c r="E38" s="15"/>
      <c r="F38" s="15"/>
      <c r="G38" s="15"/>
      <c r="H38" s="15"/>
      <c r="I38" s="15"/>
      <c r="J38" s="15"/>
      <c r="K38" s="15"/>
      <c r="L38" s="884"/>
      <c r="M38" s="1590"/>
      <c r="N38" s="1590"/>
      <c r="O38" s="1590"/>
      <c r="P38" s="1591"/>
    </row>
    <row r="39" spans="2:16" ht="17.399999999999999">
      <c r="B39" s="142"/>
      <c r="C39" s="122"/>
      <c r="D39" s="16" t="s">
        <v>637</v>
      </c>
      <c r="E39" s="16"/>
      <c r="F39" s="16"/>
      <c r="G39" s="16"/>
      <c r="H39" s="16"/>
      <c r="I39" s="970" t="s">
        <v>638</v>
      </c>
      <c r="J39" s="970"/>
      <c r="K39" s="970"/>
      <c r="L39" s="959" t="str">
        <f>$O$2&amp;"/J"</f>
        <v>€/J</v>
      </c>
      <c r="M39" s="1592">
        <f>M37+M27</f>
        <v>0</v>
      </c>
      <c r="N39" s="1592"/>
      <c r="O39" s="1592">
        <f>O37+O27</f>
        <v>0</v>
      </c>
      <c r="P39" s="1593"/>
    </row>
    <row r="40" spans="2:16" ht="18" thickBot="1">
      <c r="B40" s="142"/>
      <c r="C40" s="129"/>
      <c r="D40" s="802" t="s">
        <v>644</v>
      </c>
      <c r="E40" s="130"/>
      <c r="F40" s="130"/>
      <c r="G40" s="130"/>
      <c r="H40" s="130"/>
      <c r="I40" s="130" t="str">
        <f>"je "&amp;$O$5</f>
        <v>je h</v>
      </c>
      <c r="J40" s="130"/>
      <c r="K40" s="130"/>
      <c r="L40" s="131" t="str">
        <f>$O$2&amp;"/"&amp;$O$5</f>
        <v>€/h</v>
      </c>
      <c r="M40" s="1594">
        <f>M36+M28</f>
        <v>0</v>
      </c>
      <c r="N40" s="1594"/>
      <c r="O40" s="1594">
        <f>O36+O28</f>
        <v>0</v>
      </c>
      <c r="P40" s="1595"/>
    </row>
    <row r="41" spans="2:16" ht="14.4" thickTop="1"/>
  </sheetData>
  <mergeCells count="56">
    <mergeCell ref="M25:N25"/>
    <mergeCell ref="M26:N26"/>
    <mergeCell ref="M23:N23"/>
    <mergeCell ref="M24:N24"/>
    <mergeCell ref="M17:N17"/>
    <mergeCell ref="M18:N18"/>
    <mergeCell ref="M19:N19"/>
    <mergeCell ref="M20:N20"/>
    <mergeCell ref="M2:N2"/>
    <mergeCell ref="M3:N3"/>
    <mergeCell ref="M4:N4"/>
    <mergeCell ref="M5:N5"/>
    <mergeCell ref="O34:P34"/>
    <mergeCell ref="O29:P29"/>
    <mergeCell ref="O30:P30"/>
    <mergeCell ref="O31:P31"/>
    <mergeCell ref="O32:P32"/>
    <mergeCell ref="O25:P25"/>
    <mergeCell ref="O26:P26"/>
    <mergeCell ref="O27:P27"/>
    <mergeCell ref="O28:P28"/>
    <mergeCell ref="O21:P21"/>
    <mergeCell ref="O22:P22"/>
    <mergeCell ref="O23:P23"/>
    <mergeCell ref="M6:N6"/>
    <mergeCell ref="M8:N8"/>
    <mergeCell ref="M9:N9"/>
    <mergeCell ref="O36:P36"/>
    <mergeCell ref="O33:P33"/>
    <mergeCell ref="O35:P35"/>
    <mergeCell ref="O24:P24"/>
    <mergeCell ref="O17:P17"/>
    <mergeCell ref="O18:P18"/>
    <mergeCell ref="O19:P19"/>
    <mergeCell ref="O20:P20"/>
    <mergeCell ref="M29:N29"/>
    <mergeCell ref="M30:N30"/>
    <mergeCell ref="M31:N31"/>
    <mergeCell ref="M32:N32"/>
    <mergeCell ref="M33:N33"/>
    <mergeCell ref="O37:P37"/>
    <mergeCell ref="O38:P38"/>
    <mergeCell ref="O39:P39"/>
    <mergeCell ref="O40:P40"/>
    <mergeCell ref="M7:N7"/>
    <mergeCell ref="M37:N37"/>
    <mergeCell ref="M38:N38"/>
    <mergeCell ref="M39:N39"/>
    <mergeCell ref="M40:N40"/>
    <mergeCell ref="M34:N34"/>
    <mergeCell ref="M35:N35"/>
    <mergeCell ref="M36:N36"/>
    <mergeCell ref="M27:N27"/>
    <mergeCell ref="M28:N28"/>
    <mergeCell ref="M21:N21"/>
    <mergeCell ref="M22:N22"/>
  </mergeCells>
  <phoneticPr fontId="5" type="noConversion"/>
  <pageMargins left="0.70866141732283472" right="0.39370078740157483" top="0.62992125984251968" bottom="0.59055118110236227" header="0.31496062992125984" footer="0.39370078740157483"/>
  <pageSetup paperSize="9" firstPageNumber="2" orientation="portrait" blackAndWhite="1" horizontalDpi="4294967292" verticalDpi="300" r:id="rId1"/>
  <headerFooter alignWithMargins="0">
    <oddFooter>&amp;L&amp;9Kosten dauerhafter Produktionsmittel&amp;R&amp;9&amp;P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34"/>
  <sheetViews>
    <sheetView showGridLines="0" workbookViewId="0"/>
  </sheetViews>
  <sheetFormatPr baseColWidth="10" defaultColWidth="11.44140625" defaultRowHeight="13.8"/>
  <cols>
    <col min="1" max="1" width="1" style="25" customWidth="1"/>
    <col min="2" max="2" width="1" style="29" customWidth="1"/>
    <col min="3" max="4" width="2.44140625" style="29" customWidth="1"/>
    <col min="5" max="12" width="6.5546875" style="29" customWidth="1"/>
    <col min="13" max="15" width="11.44140625" style="29" customWidth="1"/>
    <col min="16" max="16" width="6.5546875" style="29" customWidth="1"/>
    <col min="17" max="18" width="9.5546875" style="29" customWidth="1"/>
    <col min="19" max="16384" width="11.44140625" style="29"/>
  </cols>
  <sheetData>
    <row r="1" spans="1:18" ht="19.2" thickBot="1">
      <c r="A1" s="89"/>
      <c r="C1" s="117" t="s">
        <v>821</v>
      </c>
      <c r="D1" s="1340"/>
      <c r="E1" s="1340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019"/>
      <c r="R1" s="1019"/>
    </row>
    <row r="2" spans="1:18" ht="21" thickTop="1">
      <c r="A2" s="1425"/>
      <c r="B2" s="142"/>
      <c r="C2" s="909" t="s">
        <v>1160</v>
      </c>
      <c r="D2" s="910"/>
      <c r="E2" s="910"/>
      <c r="F2" s="910"/>
      <c r="G2" s="910"/>
      <c r="H2" s="910"/>
      <c r="I2" s="910"/>
      <c r="J2" s="911"/>
      <c r="K2" s="911"/>
      <c r="L2" s="911"/>
      <c r="M2" s="911"/>
      <c r="N2" s="1345"/>
      <c r="O2" s="1378" t="s">
        <v>27</v>
      </c>
      <c r="P2" s="1340"/>
      <c r="Q2" s="1019"/>
      <c r="R2" s="1020"/>
    </row>
    <row r="3" spans="1:18" ht="20.399999999999999">
      <c r="A3" s="1425"/>
      <c r="B3" s="142"/>
      <c r="C3" s="914" t="s">
        <v>1161</v>
      </c>
      <c r="D3" s="915"/>
      <c r="E3" s="915"/>
      <c r="F3" s="915"/>
      <c r="G3" s="915"/>
      <c r="H3" s="915"/>
      <c r="I3" s="915"/>
      <c r="J3" s="916"/>
      <c r="K3" s="916"/>
      <c r="L3" s="916"/>
      <c r="M3" s="916"/>
      <c r="N3" s="1346"/>
      <c r="O3" s="918" t="str">
        <f>$O$2</f>
        <v>€</v>
      </c>
      <c r="P3" s="1340"/>
      <c r="Q3" s="1019"/>
      <c r="R3" s="1019"/>
    </row>
    <row r="4" spans="1:18" ht="20.399999999999999">
      <c r="A4" s="1425"/>
      <c r="B4" s="142"/>
      <c r="C4" s="914" t="s">
        <v>1162</v>
      </c>
      <c r="D4" s="915"/>
      <c r="E4" s="915"/>
      <c r="F4" s="915"/>
      <c r="G4" s="915"/>
      <c r="H4" s="915"/>
      <c r="I4" s="915"/>
      <c r="J4" s="916"/>
      <c r="K4" s="916"/>
      <c r="L4" s="916"/>
      <c r="M4" s="916"/>
      <c r="N4" s="1346"/>
      <c r="O4" s="918" t="s">
        <v>65</v>
      </c>
      <c r="P4" s="1340"/>
    </row>
    <row r="5" spans="1:18" ht="20.399999999999999">
      <c r="A5" s="1425"/>
      <c r="B5" s="142"/>
      <c r="C5" s="914" t="s">
        <v>818</v>
      </c>
      <c r="D5" s="915"/>
      <c r="E5" s="915"/>
      <c r="F5" s="915"/>
      <c r="G5" s="915"/>
      <c r="H5" s="915"/>
      <c r="I5" s="915"/>
      <c r="J5" s="916"/>
      <c r="K5" s="916"/>
      <c r="L5" s="916"/>
      <c r="M5" s="916"/>
      <c r="N5" s="1347"/>
      <c r="O5" s="1379" t="s">
        <v>64</v>
      </c>
      <c r="P5" s="1340"/>
    </row>
    <row r="6" spans="1:18" ht="20.399999999999999">
      <c r="A6" s="1425"/>
      <c r="B6" s="142"/>
      <c r="C6" s="914" t="s">
        <v>634</v>
      </c>
      <c r="D6" s="916"/>
      <c r="E6" s="916"/>
      <c r="F6" s="916"/>
      <c r="G6" s="916"/>
      <c r="H6" s="916"/>
      <c r="I6" s="916"/>
      <c r="J6" s="916"/>
      <c r="K6" s="916"/>
      <c r="L6" s="916"/>
      <c r="M6" s="916"/>
      <c r="N6" s="1352">
        <f>IF(N4=0,0,N5/N4)</f>
        <v>0</v>
      </c>
      <c r="O6" s="918" t="str">
        <f>$O$5&amp;"/Jahr"</f>
        <v>h/Jahr</v>
      </c>
      <c r="P6" s="1340"/>
    </row>
    <row r="7" spans="1:18" ht="20.399999999999999">
      <c r="A7" s="1425"/>
      <c r="B7" s="142"/>
      <c r="C7" s="914" t="s">
        <v>620</v>
      </c>
      <c r="D7" s="915"/>
      <c r="E7" s="915"/>
      <c r="F7" s="915"/>
      <c r="G7" s="915"/>
      <c r="H7" s="915"/>
      <c r="I7" s="915"/>
      <c r="J7" s="916"/>
      <c r="K7" s="916"/>
      <c r="L7" s="916"/>
      <c r="M7" s="916"/>
      <c r="N7" s="1359"/>
      <c r="O7" s="918" t="s">
        <v>1163</v>
      </c>
      <c r="P7" s="1340"/>
    </row>
    <row r="8" spans="1:18" ht="20.399999999999999">
      <c r="A8" s="1425"/>
      <c r="B8" s="142"/>
      <c r="C8" s="914" t="s">
        <v>1575</v>
      </c>
      <c r="D8" s="915"/>
      <c r="E8" s="915"/>
      <c r="F8" s="915"/>
      <c r="G8" s="915"/>
      <c r="H8" s="915"/>
      <c r="I8" s="915"/>
      <c r="J8" s="916"/>
      <c r="K8" s="916"/>
      <c r="L8" s="916"/>
      <c r="M8" s="916"/>
      <c r="N8" s="1353"/>
      <c r="O8" s="918" t="s">
        <v>1169</v>
      </c>
      <c r="P8" s="1340"/>
    </row>
    <row r="9" spans="1:18" ht="20.399999999999999">
      <c r="A9" s="1425"/>
      <c r="B9" s="142"/>
      <c r="C9" s="920" t="s">
        <v>1574</v>
      </c>
      <c r="D9" s="921"/>
      <c r="E9" s="921"/>
      <c r="F9" s="921"/>
      <c r="G9" s="921"/>
      <c r="H9" s="921"/>
      <c r="I9" s="921"/>
      <c r="J9" s="922"/>
      <c r="K9" s="922"/>
      <c r="L9" s="922"/>
      <c r="M9" s="922"/>
      <c r="N9" s="1354"/>
      <c r="O9" s="924" t="s">
        <v>1169</v>
      </c>
      <c r="P9" s="1340"/>
    </row>
    <row r="10" spans="1:18" ht="20.399999999999999">
      <c r="A10" s="1425"/>
      <c r="B10" s="142"/>
      <c r="C10" s="122" t="s">
        <v>649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341"/>
      <c r="O10" s="123"/>
      <c r="P10" s="1340"/>
    </row>
    <row r="11" spans="1:18" ht="20.399999999999999">
      <c r="A11" s="1425"/>
      <c r="B11" s="142"/>
      <c r="C11" s="122"/>
      <c r="D11" s="801" t="s">
        <v>650</v>
      </c>
      <c r="E11" s="801"/>
      <c r="F11" s="925">
        <f>N5</f>
        <v>0</v>
      </c>
      <c r="G11" s="879" t="str">
        <f>$O$5&amp;"    =&gt;"</f>
        <v>h    =&gt;</v>
      </c>
      <c r="H11" s="926">
        <v>1</v>
      </c>
      <c r="I11" s="927" t="s">
        <v>610</v>
      </c>
      <c r="J11" s="879"/>
      <c r="K11" s="928"/>
      <c r="L11" s="879"/>
      <c r="M11" s="1364"/>
      <c r="N11" s="930" t="s">
        <v>654</v>
      </c>
      <c r="O11" s="1380"/>
      <c r="P11" s="1340"/>
    </row>
    <row r="12" spans="1:18" ht="20.399999999999999">
      <c r="A12" s="1425"/>
      <c r="B12" s="142"/>
      <c r="C12" s="829"/>
      <c r="D12" s="933" t="s">
        <v>650</v>
      </c>
      <c r="E12" s="933"/>
      <c r="F12" s="934">
        <f>$M$17*$N$4</f>
        <v>0</v>
      </c>
      <c r="G12" s="922" t="str">
        <f>$O$5&amp;"    =&gt;"</f>
        <v>h    =&gt;</v>
      </c>
      <c r="H12" s="935">
        <f>IF(F11=0,0,F12/F11)</f>
        <v>0</v>
      </c>
      <c r="I12" s="936" t="s">
        <v>653</v>
      </c>
      <c r="J12" s="890"/>
      <c r="K12" s="890"/>
      <c r="L12" s="937" t="s">
        <v>652</v>
      </c>
      <c r="M12" s="938"/>
      <c r="N12" s="939" t="s">
        <v>654</v>
      </c>
      <c r="O12" s="1381">
        <f>O11*M12</f>
        <v>0</v>
      </c>
      <c r="P12" s="1340"/>
    </row>
    <row r="13" spans="1:18" ht="20.399999999999999">
      <c r="A13" s="1425"/>
      <c r="B13" s="142"/>
      <c r="C13" s="122" t="s">
        <v>1154</v>
      </c>
      <c r="D13" s="811"/>
      <c r="E13" s="811"/>
      <c r="F13" s="866"/>
      <c r="G13" s="867"/>
      <c r="H13" s="868"/>
      <c r="I13" s="867"/>
      <c r="J13" s="864"/>
      <c r="K13" s="864"/>
      <c r="L13" s="869"/>
      <c r="M13" s="869"/>
      <c r="N13" s="816"/>
      <c r="O13" s="1382"/>
      <c r="P13" s="1340"/>
    </row>
    <row r="14" spans="1:18" ht="20.399999999999999">
      <c r="A14" s="1425"/>
      <c r="B14" s="142"/>
      <c r="C14" s="122"/>
      <c r="D14" s="942" t="s">
        <v>1573</v>
      </c>
      <c r="E14" s="942"/>
      <c r="F14" s="943"/>
      <c r="G14" s="882"/>
      <c r="H14" s="882"/>
      <c r="I14" s="882"/>
      <c r="J14" s="944"/>
      <c r="K14" s="945" t="str">
        <f>"l / "&amp;$O$5&amp;"  × "</f>
        <v xml:space="preserve">l / h  × </v>
      </c>
      <c r="L14" s="944"/>
      <c r="M14" s="946" t="str">
        <f>$O$2&amp;" / l  ="</f>
        <v>€ / l  =</v>
      </c>
      <c r="N14" s="947">
        <f>J14*L14</f>
        <v>0</v>
      </c>
      <c r="O14" s="1383" t="str">
        <f>$O$2&amp;" / "&amp;$O$5</f>
        <v>€ / h</v>
      </c>
      <c r="P14" s="1340"/>
    </row>
    <row r="15" spans="1:18" ht="20.399999999999999">
      <c r="A15" s="1425"/>
      <c r="B15" s="142"/>
      <c r="C15" s="122"/>
      <c r="D15" s="949" t="s">
        <v>660</v>
      </c>
      <c r="E15" s="950"/>
      <c r="F15" s="951"/>
      <c r="G15" s="887"/>
      <c r="H15" s="887"/>
      <c r="I15" s="887"/>
      <c r="J15" s="952"/>
      <c r="K15" s="953" t="str">
        <f>"l / "&amp;$O$5&amp;"  × "</f>
        <v xml:space="preserve">l / h  × </v>
      </c>
      <c r="L15" s="952"/>
      <c r="M15" s="954" t="str">
        <f>$O$2&amp;" / l  ="</f>
        <v>€ / l  =</v>
      </c>
      <c r="N15" s="955">
        <f>J15*L15</f>
        <v>0</v>
      </c>
      <c r="O15" s="1384" t="str">
        <f>$O$2&amp;" / "&amp;$O$5</f>
        <v>€ / h</v>
      </c>
      <c r="P15" s="1340"/>
    </row>
    <row r="16" spans="1:18" ht="21" thickBot="1">
      <c r="A16" s="1425"/>
      <c r="B16" s="142"/>
      <c r="C16" s="871"/>
      <c r="D16" s="821"/>
      <c r="E16" s="821"/>
      <c r="F16" s="872"/>
      <c r="G16" s="873"/>
      <c r="H16" s="873"/>
      <c r="I16" s="873"/>
      <c r="J16" s="874"/>
      <c r="K16" s="874"/>
      <c r="L16" s="874"/>
      <c r="M16" s="874"/>
      <c r="N16" s="873"/>
      <c r="O16" s="1385"/>
      <c r="P16" s="1340"/>
    </row>
    <row r="17" spans="1:15" ht="21" thickTop="1">
      <c r="A17" s="1425"/>
      <c r="B17" s="142"/>
      <c r="C17" s="128" t="s">
        <v>1166</v>
      </c>
      <c r="D17" s="19"/>
      <c r="E17" s="19"/>
      <c r="F17" s="19"/>
      <c r="G17" s="19"/>
      <c r="H17" s="19"/>
      <c r="I17" s="19"/>
      <c r="J17" s="19"/>
      <c r="K17" s="19"/>
      <c r="L17" s="1424" t="s">
        <v>64</v>
      </c>
      <c r="M17" s="1343"/>
      <c r="N17" s="1368"/>
      <c r="O17" s="1386"/>
    </row>
    <row r="18" spans="1:15" ht="20.399999999999999">
      <c r="A18" s="1425"/>
      <c r="B18" s="142"/>
      <c r="C18" s="132" t="s">
        <v>1167</v>
      </c>
      <c r="D18" s="15"/>
      <c r="E18" s="15"/>
      <c r="F18" s="15"/>
      <c r="G18" s="15"/>
      <c r="H18" s="15"/>
      <c r="I18" s="15"/>
      <c r="J18" s="15"/>
      <c r="K18" s="15"/>
      <c r="L18" s="876" t="s">
        <v>92</v>
      </c>
      <c r="M18" s="1344"/>
      <c r="N18" s="1369"/>
      <c r="O18" s="1387"/>
    </row>
    <row r="19" spans="1:15" ht="20.399999999999999">
      <c r="A19" s="1425"/>
      <c r="B19" s="142"/>
      <c r="C19" s="877"/>
      <c r="D19" s="1364" t="s">
        <v>1168</v>
      </c>
      <c r="E19" s="1394"/>
      <c r="F19" s="1394"/>
      <c r="G19" s="1364"/>
      <c r="H19" s="1364"/>
      <c r="I19" s="1395" t="s">
        <v>363</v>
      </c>
      <c r="J19" s="1364"/>
      <c r="K19" s="1364"/>
      <c r="L19" s="1365" t="str">
        <f>$O$2&amp;"/J"</f>
        <v>€/J</v>
      </c>
      <c r="M19" s="1396">
        <f>IF(M17=0,0,IF(M17&lt;=$N$6,($N$2-$N$3)/$N$4,0))</f>
        <v>0</v>
      </c>
      <c r="N19" s="1370">
        <f>IF(N17=0,0,IF(N17&lt;=$N$6,($N$2-$N$3)/$N$4,0))</f>
        <v>0</v>
      </c>
      <c r="O19" s="1388">
        <f>IF(O17=0,0,IF(O17&lt;=$N$6,($N$2-$N$3)/$N$4,0))</f>
        <v>0</v>
      </c>
    </row>
    <row r="20" spans="1:15" ht="20.399999999999999">
      <c r="A20" s="1425"/>
      <c r="B20" s="142"/>
      <c r="C20" s="877"/>
      <c r="D20" s="916" t="s">
        <v>843</v>
      </c>
      <c r="E20" s="977"/>
      <c r="F20" s="1397"/>
      <c r="G20" s="1398"/>
      <c r="H20" s="978"/>
      <c r="I20" s="978" t="s">
        <v>641</v>
      </c>
      <c r="J20" s="916"/>
      <c r="K20" s="916"/>
      <c r="L20" s="1399" t="str">
        <f>$O$2&amp;"/J"</f>
        <v>€/J</v>
      </c>
      <c r="M20" s="1400">
        <f>$N$7/100*($N$2+$N$3)/2</f>
        <v>0</v>
      </c>
      <c r="N20" s="1401">
        <f>$N$7/100*($N$2+$N$3)/2</f>
        <v>0</v>
      </c>
      <c r="O20" s="1402">
        <f>$N$7/100*($N$2+$N$3)/2</f>
        <v>0</v>
      </c>
    </row>
    <row r="21" spans="1:15" ht="20.399999999999999">
      <c r="A21" s="1425"/>
      <c r="B21" s="142"/>
      <c r="C21" s="877"/>
      <c r="D21" s="916" t="s">
        <v>94</v>
      </c>
      <c r="E21" s="977"/>
      <c r="F21" s="977"/>
      <c r="G21" s="887"/>
      <c r="H21" s="887"/>
      <c r="I21" s="1403">
        <f>N8</f>
        <v>0</v>
      </c>
      <c r="J21" s="978" t="s">
        <v>1169</v>
      </c>
      <c r="K21" s="916"/>
      <c r="L21" s="1399" t="str">
        <f>$O$2&amp;"/J"</f>
        <v>€/J</v>
      </c>
      <c r="M21" s="1400">
        <f>$I21%*$N$2</f>
        <v>0</v>
      </c>
      <c r="N21" s="1401">
        <f>$I21%*$N$2</f>
        <v>0</v>
      </c>
      <c r="O21" s="1402">
        <f>N21</f>
        <v>0</v>
      </c>
    </row>
    <row r="22" spans="1:15" ht="21" thickBot="1">
      <c r="A22" s="1425"/>
      <c r="B22" s="142"/>
      <c r="C22" s="877"/>
      <c r="D22" s="1406" t="s">
        <v>91</v>
      </c>
      <c r="E22" s="1407"/>
      <c r="F22" s="1407"/>
      <c r="G22" s="1408"/>
      <c r="H22" s="1408"/>
      <c r="I22" s="1409">
        <f>N9</f>
        <v>0</v>
      </c>
      <c r="J22" s="1410" t="s">
        <v>1169</v>
      </c>
      <c r="K22" s="1406"/>
      <c r="L22" s="960" t="str">
        <f>$O$2&amp;"/J"</f>
        <v>€/J</v>
      </c>
      <c r="M22" s="1411">
        <f>$I22%*$N$2</f>
        <v>0</v>
      </c>
      <c r="N22" s="1412">
        <f>$I22%*$N$2</f>
        <v>0</v>
      </c>
      <c r="O22" s="1413">
        <f>$I$22/100*$N$2</f>
        <v>0</v>
      </c>
    </row>
    <row r="23" spans="1:15" ht="21" thickTop="1">
      <c r="A23" s="1425"/>
      <c r="B23" s="142"/>
      <c r="C23" s="877"/>
      <c r="D23" s="16" t="s">
        <v>635</v>
      </c>
      <c r="E23" s="16"/>
      <c r="F23" s="16"/>
      <c r="G23" s="16"/>
      <c r="H23" s="16"/>
      <c r="I23" s="1404" t="s">
        <v>638</v>
      </c>
      <c r="J23" s="1404"/>
      <c r="K23" s="1404"/>
      <c r="L23" s="1366" t="str">
        <f>$O$2&amp;"/J"</f>
        <v>€/J</v>
      </c>
      <c r="M23" s="1405">
        <f>M19+M20+M21+M22</f>
        <v>0</v>
      </c>
      <c r="N23" s="1376">
        <f>N19+N20+N21+N22</f>
        <v>0</v>
      </c>
      <c r="O23" s="1392">
        <f>O19+O20+O21+O22</f>
        <v>0</v>
      </c>
    </row>
    <row r="24" spans="1:15" ht="21" thickBot="1">
      <c r="A24" s="1425"/>
      <c r="B24" s="142"/>
      <c r="C24" s="961"/>
      <c r="D24" s="962"/>
      <c r="E24" s="962"/>
      <c r="F24" s="962"/>
      <c r="G24" s="962"/>
      <c r="H24" s="962"/>
      <c r="I24" s="962" t="str">
        <f>"je "&amp;$O$5</f>
        <v>je h</v>
      </c>
      <c r="J24" s="962"/>
      <c r="K24" s="962"/>
      <c r="L24" s="963" t="str">
        <f>$O$2&amp;"/"&amp;$O$5</f>
        <v>€/h</v>
      </c>
      <c r="M24" s="1350">
        <f>IF(M$17=0,0,M23/M$17)</f>
        <v>0</v>
      </c>
      <c r="N24" s="1372">
        <f>IF(N$17=0,0,N23/N$17)</f>
        <v>0</v>
      </c>
      <c r="O24" s="1351">
        <f>IF(O$17=0,0,O23/O$17)</f>
        <v>0</v>
      </c>
    </row>
    <row r="25" spans="1:15" ht="20.399999999999999">
      <c r="A25" s="1425"/>
      <c r="B25" s="142"/>
      <c r="C25" s="132" t="s">
        <v>1170</v>
      </c>
      <c r="D25" s="15"/>
      <c r="E25" s="15"/>
      <c r="F25" s="15"/>
      <c r="G25" s="15"/>
      <c r="H25" s="15"/>
      <c r="I25" s="15"/>
      <c r="J25" s="15"/>
      <c r="K25" s="15"/>
      <c r="L25" s="884"/>
      <c r="M25" s="1348" t="s">
        <v>92</v>
      </c>
      <c r="N25" s="1373" t="s">
        <v>92</v>
      </c>
      <c r="O25" s="1390" t="s">
        <v>92</v>
      </c>
    </row>
    <row r="26" spans="1:15" ht="20.399999999999999">
      <c r="A26" s="1425"/>
      <c r="B26" s="142"/>
      <c r="C26" s="877"/>
      <c r="D26" s="1364" t="s">
        <v>95</v>
      </c>
      <c r="E26" s="1364"/>
      <c r="F26" s="1364"/>
      <c r="G26" s="1395"/>
      <c r="H26" s="1364"/>
      <c r="I26" s="1395" t="s">
        <v>364</v>
      </c>
      <c r="J26" s="1364"/>
      <c r="K26" s="1364"/>
      <c r="L26" s="1365" t="str">
        <f>$O$2&amp;"/"&amp;$O$5</f>
        <v>€/h</v>
      </c>
      <c r="M26" s="1417">
        <f>IF(M17&gt;$N$6,($N$2-$N$3)/$N$5,0)</f>
        <v>0</v>
      </c>
      <c r="N26" s="1418">
        <f>IF(N17&gt;$N$6,($N$2-$N$3)/$N$5,0)</f>
        <v>0</v>
      </c>
      <c r="O26" s="1419">
        <f>IF(O17&gt;$N$6,($N$2-$N$3)/$N$5,0)</f>
        <v>0</v>
      </c>
    </row>
    <row r="27" spans="1:15" ht="20.399999999999999">
      <c r="A27" s="1425"/>
      <c r="B27" s="142"/>
      <c r="C27" s="877"/>
      <c r="D27" s="916" t="s">
        <v>819</v>
      </c>
      <c r="E27" s="916"/>
      <c r="F27" s="916"/>
      <c r="G27" s="916"/>
      <c r="H27" s="916"/>
      <c r="I27" s="916"/>
      <c r="J27" s="916"/>
      <c r="K27" s="916"/>
      <c r="L27" s="1399" t="str">
        <f>$O$2&amp;"/"&amp;$O$5</f>
        <v>€/h</v>
      </c>
      <c r="M27" s="1420">
        <f>O12</f>
        <v>0</v>
      </c>
      <c r="N27" s="1421">
        <f>O11</f>
        <v>0</v>
      </c>
      <c r="O27" s="1422">
        <f>O11</f>
        <v>0</v>
      </c>
    </row>
    <row r="28" spans="1:15" ht="21" thickBot="1">
      <c r="A28" s="1425"/>
      <c r="B28" s="142"/>
      <c r="C28" s="877"/>
      <c r="D28" s="1423" t="s">
        <v>1572</v>
      </c>
      <c r="E28" s="1406"/>
      <c r="F28" s="1406"/>
      <c r="G28" s="1406"/>
      <c r="H28" s="1406"/>
      <c r="I28" s="1406"/>
      <c r="J28" s="1406"/>
      <c r="K28" s="1406"/>
      <c r="L28" s="960" t="str">
        <f>$O$2&amp;"/"&amp;$O$5</f>
        <v>€/h</v>
      </c>
      <c r="M28" s="1342">
        <f>$N$14+$N$15</f>
        <v>0</v>
      </c>
      <c r="N28" s="1371">
        <f>$N$14+$N$15</f>
        <v>0</v>
      </c>
      <c r="O28" s="1389">
        <f>$N$14+$N$15</f>
        <v>0</v>
      </c>
    </row>
    <row r="29" spans="1:15" ht="21" thickTop="1">
      <c r="A29" s="1425"/>
      <c r="B29" s="142"/>
      <c r="C29" s="877"/>
      <c r="D29" s="16" t="s">
        <v>636</v>
      </c>
      <c r="E29" s="16"/>
      <c r="F29" s="16"/>
      <c r="G29" s="16"/>
      <c r="H29" s="16"/>
      <c r="I29" s="1404" t="str">
        <f>"je "&amp;$O$5</f>
        <v>je h</v>
      </c>
      <c r="J29" s="1404"/>
      <c r="K29" s="1404"/>
      <c r="L29" s="1367" t="str">
        <f>$O$2&amp;"/"&amp;$O$5</f>
        <v>€/h</v>
      </c>
      <c r="M29" s="1414">
        <f>M28+M27+M26</f>
        <v>0</v>
      </c>
      <c r="N29" s="1415">
        <f>N28+N27+N26</f>
        <v>0</v>
      </c>
      <c r="O29" s="1416">
        <f>O28+O27+O26</f>
        <v>0</v>
      </c>
    </row>
    <row r="30" spans="1:15" ht="21" thickBot="1">
      <c r="A30" s="1425"/>
      <c r="B30" s="142"/>
      <c r="C30" s="961"/>
      <c r="D30" s="962"/>
      <c r="E30" s="962"/>
      <c r="F30" s="962"/>
      <c r="G30" s="962"/>
      <c r="H30" s="962"/>
      <c r="I30" s="962" t="s">
        <v>638</v>
      </c>
      <c r="J30" s="962"/>
      <c r="K30" s="962"/>
      <c r="L30" s="969" t="str">
        <f>$O$2&amp;"/J"</f>
        <v>€/J</v>
      </c>
      <c r="M30" s="1355">
        <f>M29*M17</f>
        <v>0</v>
      </c>
      <c r="N30" s="1374">
        <f>N29*N17</f>
        <v>0</v>
      </c>
      <c r="O30" s="1356">
        <f>O29*O17</f>
        <v>0</v>
      </c>
    </row>
    <row r="31" spans="1:15" ht="20.399999999999999">
      <c r="A31" s="1425"/>
      <c r="B31" s="142"/>
      <c r="C31" s="799" t="s">
        <v>1126</v>
      </c>
      <c r="D31" s="15"/>
      <c r="E31" s="15"/>
      <c r="F31" s="15"/>
      <c r="G31" s="15"/>
      <c r="H31" s="15"/>
      <c r="I31" s="15"/>
      <c r="J31" s="15"/>
      <c r="K31" s="15"/>
      <c r="L31" s="884"/>
      <c r="M31" s="1357"/>
      <c r="N31" s="1375"/>
      <c r="O31" s="1391"/>
    </row>
    <row r="32" spans="1:15" ht="20.399999999999999">
      <c r="A32" s="1425"/>
      <c r="B32" s="142"/>
      <c r="C32" s="122"/>
      <c r="D32" s="16" t="s">
        <v>637</v>
      </c>
      <c r="E32" s="16"/>
      <c r="F32" s="16"/>
      <c r="G32" s="16"/>
      <c r="H32" s="16"/>
      <c r="I32" s="970" t="s">
        <v>638</v>
      </c>
      <c r="J32" s="970"/>
      <c r="K32" s="970"/>
      <c r="L32" s="959" t="str">
        <f>$O$2&amp;"/J"</f>
        <v>€/J</v>
      </c>
      <c r="M32" s="1349">
        <f>M30+M23</f>
        <v>0</v>
      </c>
      <c r="N32" s="1376">
        <f>N30+N23</f>
        <v>0</v>
      </c>
      <c r="O32" s="1392">
        <f>O30+O23</f>
        <v>0</v>
      </c>
    </row>
    <row r="33" spans="1:15" ht="21" thickBot="1">
      <c r="A33" s="1425"/>
      <c r="B33" s="142"/>
      <c r="C33" s="129"/>
      <c r="D33" s="802" t="s">
        <v>644</v>
      </c>
      <c r="E33" s="130"/>
      <c r="F33" s="130"/>
      <c r="G33" s="130"/>
      <c r="H33" s="130"/>
      <c r="I33" s="130" t="str">
        <f>"je "&amp;$O$5</f>
        <v>je h</v>
      </c>
      <c r="J33" s="130"/>
      <c r="K33" s="130"/>
      <c r="L33" s="131" t="str">
        <f>$O$2&amp;"/"&amp;$O$5</f>
        <v>€/h</v>
      </c>
      <c r="M33" s="1358">
        <f>M29+M24</f>
        <v>0</v>
      </c>
      <c r="N33" s="1377">
        <f>N29+N24</f>
        <v>0</v>
      </c>
      <c r="O33" s="1393">
        <f>O29+O24</f>
        <v>0</v>
      </c>
    </row>
    <row r="34" spans="1:15" ht="14.4" thickTop="1"/>
  </sheetData>
  <pageMargins left="0.70866141732283472" right="0.39370078740157483" top="0.59055118110236227" bottom="0.59055118110236227" header="0.31496062992125984" footer="0.39370078740157483"/>
  <pageSetup paperSize="9" firstPageNumber="2" orientation="portrait" blackAndWhite="1" horizontalDpi="4294967292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81"/>
  <sheetViews>
    <sheetView showGridLines="0" workbookViewId="0"/>
  </sheetViews>
  <sheetFormatPr baseColWidth="10" defaultRowHeight="13.2"/>
  <cols>
    <col min="1" max="1" width="1.77734375" customWidth="1"/>
    <col min="2" max="2" width="2.44140625" customWidth="1"/>
    <col min="3" max="3" width="2.44140625" style="1340" customWidth="1"/>
    <col min="4" max="4" width="12.5546875" customWidth="1"/>
    <col min="5" max="12" width="8.21875" customWidth="1"/>
    <col min="13" max="13" width="7.21875" customWidth="1"/>
    <col min="15" max="16" width="2.44140625" style="1340" customWidth="1"/>
    <col min="17" max="17" width="12.5546875" style="1340" customWidth="1"/>
    <col min="18" max="25" width="8.21875" style="1340" customWidth="1"/>
    <col min="26" max="26" width="7.21875" style="1340" customWidth="1"/>
  </cols>
  <sheetData>
    <row r="1" spans="1:29">
      <c r="B1" s="6" t="s">
        <v>1583</v>
      </c>
      <c r="C1" s="6"/>
      <c r="O1" s="6" t="s">
        <v>1583</v>
      </c>
      <c r="P1" s="6"/>
    </row>
    <row r="3" spans="1:29">
      <c r="B3" t="s">
        <v>1581</v>
      </c>
      <c r="E3" s="98" t="s">
        <v>1584</v>
      </c>
      <c r="F3" s="33"/>
      <c r="G3" s="33"/>
      <c r="H3" s="33"/>
      <c r="I3" s="33"/>
      <c r="J3" s="33"/>
      <c r="K3" s="33"/>
      <c r="L3" s="33"/>
      <c r="M3" s="33"/>
      <c r="O3" s="1340" t="s">
        <v>1581</v>
      </c>
      <c r="R3" s="98" t="s">
        <v>1584</v>
      </c>
      <c r="S3" s="33"/>
      <c r="T3" s="33"/>
      <c r="U3" s="33"/>
      <c r="V3" s="33"/>
      <c r="W3" s="33"/>
      <c r="X3" s="33"/>
      <c r="Y3" s="33"/>
      <c r="Z3" s="33"/>
    </row>
    <row r="4" spans="1:29">
      <c r="E4" s="98" t="s">
        <v>1582</v>
      </c>
      <c r="F4" s="33"/>
      <c r="G4" s="98" t="s">
        <v>1333</v>
      </c>
      <c r="H4" s="33"/>
      <c r="I4" s="33"/>
      <c r="J4" s="33"/>
      <c r="K4" s="33"/>
      <c r="L4" s="33"/>
      <c r="M4" s="33"/>
      <c r="R4" s="98" t="s">
        <v>1582</v>
      </c>
      <c r="S4" s="33"/>
      <c r="T4" s="98" t="s">
        <v>1333</v>
      </c>
      <c r="U4" s="33"/>
      <c r="V4" s="33"/>
      <c r="W4" s="33"/>
      <c r="X4" s="33"/>
      <c r="Y4" s="33"/>
      <c r="Z4" s="33"/>
    </row>
    <row r="5" spans="1:29" s="1340" customFormat="1">
      <c r="E5" s="98"/>
      <c r="F5" s="33"/>
      <c r="G5" s="98"/>
      <c r="H5" s="33"/>
      <c r="I5" s="33"/>
      <c r="J5" s="33"/>
      <c r="K5" s="33"/>
      <c r="L5" s="33"/>
      <c r="M5" s="33"/>
      <c r="R5" s="98"/>
      <c r="S5" s="33"/>
      <c r="T5" s="98"/>
      <c r="U5" s="33"/>
      <c r="V5" s="33"/>
      <c r="W5" s="33"/>
      <c r="X5" s="33"/>
      <c r="Y5" s="33"/>
      <c r="Z5" s="33"/>
    </row>
    <row r="6" spans="1:29">
      <c r="B6" s="98" t="s">
        <v>1330</v>
      </c>
      <c r="C6" s="98"/>
      <c r="E6" s="98" t="s">
        <v>1437</v>
      </c>
      <c r="F6" s="33"/>
      <c r="G6" s="33"/>
      <c r="H6" s="33"/>
      <c r="I6" s="33"/>
      <c r="J6" s="33"/>
      <c r="K6" s="33"/>
      <c r="L6" s="33"/>
      <c r="M6" s="33"/>
      <c r="O6" s="98" t="s">
        <v>1330</v>
      </c>
      <c r="P6" s="98"/>
      <c r="R6" s="98" t="s">
        <v>1437</v>
      </c>
      <c r="S6" s="33"/>
      <c r="T6" s="33"/>
      <c r="U6" s="33"/>
      <c r="V6" s="33"/>
      <c r="W6" s="33"/>
      <c r="X6" s="33"/>
      <c r="Y6" s="33"/>
      <c r="Z6" s="33"/>
    </row>
    <row r="7" spans="1:29">
      <c r="B7" s="98"/>
      <c r="C7" s="98"/>
      <c r="E7" s="98" t="s">
        <v>1615</v>
      </c>
      <c r="F7" s="33"/>
      <c r="G7" s="33"/>
      <c r="H7" s="33"/>
      <c r="I7" s="33"/>
      <c r="J7" s="33"/>
      <c r="K7" s="33"/>
      <c r="L7" s="33"/>
      <c r="M7" s="33"/>
      <c r="O7" s="98"/>
      <c r="P7" s="98"/>
      <c r="R7" s="98" t="s">
        <v>1439</v>
      </c>
      <c r="S7" s="33"/>
      <c r="T7" s="33"/>
      <c r="U7" s="33"/>
      <c r="V7" s="33"/>
      <c r="W7" s="33"/>
      <c r="X7" s="33"/>
      <c r="Y7" s="33"/>
      <c r="Z7" s="33"/>
    </row>
    <row r="8" spans="1:29">
      <c r="B8" s="98"/>
      <c r="C8" s="98"/>
      <c r="E8" s="98" t="s">
        <v>1331</v>
      </c>
      <c r="F8" s="33"/>
      <c r="G8" s="33"/>
      <c r="H8" s="33"/>
      <c r="I8" s="33"/>
      <c r="J8" s="33"/>
      <c r="K8" s="33"/>
      <c r="L8" s="33"/>
      <c r="M8" s="33"/>
      <c r="O8" s="98"/>
      <c r="P8" s="98"/>
      <c r="R8" s="98" t="s">
        <v>1331</v>
      </c>
      <c r="S8" s="33"/>
      <c r="T8" s="33"/>
      <c r="U8" s="33"/>
      <c r="V8" s="33"/>
      <c r="W8" s="33"/>
      <c r="X8" s="33"/>
      <c r="Y8" s="33"/>
      <c r="Z8" s="33"/>
    </row>
    <row r="9" spans="1:29" s="1340" customFormat="1">
      <c r="B9" s="98"/>
      <c r="C9" s="98"/>
      <c r="E9" s="98"/>
      <c r="F9" s="33"/>
      <c r="G9" s="33"/>
      <c r="H9" s="33"/>
      <c r="I9" s="33"/>
      <c r="J9" s="33"/>
      <c r="K9" s="33"/>
      <c r="L9" s="33"/>
      <c r="M9" s="33"/>
      <c r="O9" s="98"/>
      <c r="P9" s="98"/>
      <c r="R9" s="98"/>
      <c r="S9" s="33"/>
      <c r="T9" s="33"/>
      <c r="U9" s="33"/>
      <c r="V9" s="33"/>
      <c r="W9" s="33"/>
      <c r="X9" s="33"/>
      <c r="Y9" s="33"/>
      <c r="Z9" s="33"/>
    </row>
    <row r="10" spans="1:29">
      <c r="B10" s="98" t="s">
        <v>1332</v>
      </c>
      <c r="C10" s="98"/>
      <c r="E10" s="98" t="s">
        <v>1617</v>
      </c>
      <c r="F10" s="33"/>
      <c r="G10" s="33"/>
      <c r="H10" s="33"/>
      <c r="I10" s="33"/>
      <c r="J10" s="33"/>
      <c r="K10" s="33"/>
      <c r="L10" s="33"/>
      <c r="M10" s="33"/>
      <c r="O10" s="98" t="s">
        <v>1332</v>
      </c>
      <c r="P10" s="98"/>
      <c r="R10" s="98" t="s">
        <v>1438</v>
      </c>
      <c r="S10" s="33"/>
      <c r="T10" s="33"/>
      <c r="U10" s="33"/>
      <c r="V10" s="33"/>
      <c r="W10" s="33"/>
      <c r="X10" s="33"/>
      <c r="Y10" s="33"/>
      <c r="Z10" s="33"/>
    </row>
    <row r="11" spans="1:29" s="1526" customFormat="1">
      <c r="B11" s="98"/>
      <c r="C11" s="98"/>
      <c r="E11" s="98" t="s">
        <v>1616</v>
      </c>
      <c r="F11" s="33"/>
      <c r="G11" s="33"/>
      <c r="H11" s="33"/>
      <c r="I11" s="33"/>
      <c r="J11" s="33"/>
      <c r="K11" s="33"/>
      <c r="L11" s="33"/>
      <c r="M11" s="33"/>
      <c r="O11" s="98"/>
      <c r="P11" s="98"/>
      <c r="R11" s="98" t="s">
        <v>1616</v>
      </c>
      <c r="S11" s="33"/>
      <c r="T11" s="33"/>
      <c r="U11" s="33"/>
      <c r="V11" s="33"/>
      <c r="W11" s="33"/>
      <c r="X11" s="33"/>
      <c r="Y11" s="33"/>
      <c r="Z11" s="33"/>
    </row>
    <row r="12" spans="1:29">
      <c r="B12" s="98"/>
      <c r="C12" s="98"/>
      <c r="E12" s="33"/>
      <c r="F12" s="33"/>
      <c r="G12" s="33"/>
      <c r="H12" s="33"/>
      <c r="I12" s="33"/>
      <c r="J12" s="33"/>
      <c r="K12" s="33"/>
      <c r="L12" s="33"/>
      <c r="M12" s="33"/>
      <c r="O12" s="98"/>
      <c r="P12" s="98"/>
      <c r="R12" s="33"/>
      <c r="S12" s="33"/>
      <c r="T12" s="33"/>
      <c r="U12" s="33"/>
      <c r="V12" s="33"/>
      <c r="W12" s="33"/>
      <c r="X12" s="33"/>
      <c r="Y12" s="33"/>
      <c r="Z12" s="33"/>
    </row>
    <row r="13" spans="1:29" s="1340" customFormat="1" ht="17.399999999999999">
      <c r="A13" s="142"/>
      <c r="B13" s="1629" t="s">
        <v>1597</v>
      </c>
      <c r="C13" s="1469"/>
      <c r="D13" s="1470"/>
      <c r="E13" s="1470"/>
      <c r="F13" s="1470"/>
      <c r="G13" s="1470"/>
      <c r="H13" s="1446" t="s">
        <v>1607</v>
      </c>
      <c r="I13" s="1470"/>
      <c r="J13" s="1446" t="s">
        <v>1593</v>
      </c>
      <c r="K13" s="1470"/>
      <c r="L13" s="1446" t="s">
        <v>1594</v>
      </c>
      <c r="M13" s="1471"/>
      <c r="O13" s="1629" t="s">
        <v>1597</v>
      </c>
      <c r="P13" s="1469"/>
      <c r="Q13" s="1470"/>
      <c r="R13" s="1470"/>
      <c r="S13" s="1470"/>
      <c r="T13" s="1470"/>
      <c r="U13" s="1446" t="s">
        <v>1607</v>
      </c>
      <c r="V13" s="1470"/>
      <c r="W13" s="1446" t="s">
        <v>1593</v>
      </c>
      <c r="X13" s="1470"/>
      <c r="Y13" s="1446" t="s">
        <v>1594</v>
      </c>
      <c r="Z13" s="1471"/>
    </row>
    <row r="14" spans="1:29" ht="17.399999999999999">
      <c r="A14" s="142"/>
      <c r="B14" s="1630"/>
      <c r="C14" s="1630" t="s">
        <v>1600</v>
      </c>
      <c r="D14" s="1460" t="s">
        <v>95</v>
      </c>
      <c r="E14" s="1467"/>
      <c r="F14" s="1467"/>
      <c r="G14" s="1467"/>
      <c r="H14" s="1461"/>
      <c r="I14" s="1462"/>
      <c r="J14" s="1464"/>
      <c r="K14" s="1465"/>
      <c r="L14" s="1394"/>
      <c r="M14" s="1468"/>
      <c r="O14" s="1630"/>
      <c r="P14" s="1630" t="s">
        <v>1600</v>
      </c>
      <c r="Q14" s="1460" t="s">
        <v>95</v>
      </c>
      <c r="R14" s="1467"/>
      <c r="S14" s="1467"/>
      <c r="T14" s="1467"/>
      <c r="U14" s="1461"/>
      <c r="V14" s="1462"/>
      <c r="W14" s="1464"/>
      <c r="X14" s="1465"/>
      <c r="Y14" s="1394"/>
      <c r="Z14" s="1468"/>
    </row>
    <row r="15" spans="1:29" s="1340" customFormat="1" ht="17.399999999999999">
      <c r="A15" s="142"/>
      <c r="B15" s="1630"/>
      <c r="C15" s="1630"/>
      <c r="D15" s="1450" t="s">
        <v>843</v>
      </c>
      <c r="E15" s="560"/>
      <c r="F15" s="560"/>
      <c r="G15" s="560"/>
      <c r="H15" s="1451">
        <f>ROUND(Text!O1211,2)</f>
        <v>16.670000000000002</v>
      </c>
      <c r="I15" s="1431" t="s">
        <v>1321</v>
      </c>
      <c r="J15" s="1452">
        <v>0.97</v>
      </c>
      <c r="K15" s="1453" t="s">
        <v>1320</v>
      </c>
      <c r="L15" s="1452">
        <f>ROUND(H15/J15,AB15)</f>
        <v>17.190000000000001</v>
      </c>
      <c r="M15" s="1454" t="s">
        <v>353</v>
      </c>
      <c r="O15" s="1630"/>
      <c r="P15" s="1630"/>
      <c r="Q15" s="1450" t="s">
        <v>843</v>
      </c>
      <c r="R15" s="560"/>
      <c r="S15" s="560"/>
      <c r="T15" s="560"/>
      <c r="U15" s="1451"/>
      <c r="V15" s="1431" t="s">
        <v>1321</v>
      </c>
      <c r="W15" s="1452"/>
      <c r="X15" s="1453" t="s">
        <v>1320</v>
      </c>
      <c r="Y15" s="1452"/>
      <c r="Z15" s="1454" t="s">
        <v>353</v>
      </c>
      <c r="AB15" s="1495">
        <v>2</v>
      </c>
      <c r="AC15" s="1495" t="s">
        <v>1611</v>
      </c>
    </row>
    <row r="16" spans="1:29" s="1340" customFormat="1" ht="17.399999999999999">
      <c r="A16" s="142"/>
      <c r="B16" s="1630"/>
      <c r="C16" s="1633"/>
      <c r="D16" s="1455" t="s">
        <v>1602</v>
      </c>
      <c r="E16" s="568"/>
      <c r="F16" s="568"/>
      <c r="G16" s="568"/>
      <c r="H16" s="1456"/>
      <c r="I16" s="1441"/>
      <c r="J16" s="1457"/>
      <c r="K16" s="1458"/>
      <c r="L16" s="1457"/>
      <c r="M16" s="1459"/>
      <c r="O16" s="1630"/>
      <c r="P16" s="1633"/>
      <c r="Q16" s="1455" t="s">
        <v>1602</v>
      </c>
      <c r="R16" s="568"/>
      <c r="S16" s="568"/>
      <c r="T16" s="568"/>
      <c r="U16" s="1456"/>
      <c r="V16" s="1441"/>
      <c r="W16" s="1457"/>
      <c r="X16" s="1458"/>
      <c r="Y16" s="1457"/>
      <c r="Z16" s="1459"/>
      <c r="AB16" s="1495">
        <v>2</v>
      </c>
      <c r="AC16" s="1495" t="s">
        <v>1611</v>
      </c>
    </row>
    <row r="17" spans="1:34" ht="17.399999999999999">
      <c r="A17" s="142"/>
      <c r="B17" s="1630"/>
      <c r="C17" s="1629" t="s">
        <v>1601</v>
      </c>
      <c r="D17" s="1460" t="s">
        <v>655</v>
      </c>
      <c r="E17" s="1461">
        <f>Text!O1197</f>
        <v>9.6</v>
      </c>
      <c r="F17" s="1462" t="s">
        <v>1309</v>
      </c>
      <c r="G17" s="1463">
        <v>1.3</v>
      </c>
      <c r="H17" s="1525">
        <f>ROUND(E17*G17,2)</f>
        <v>12.48</v>
      </c>
      <c r="I17" s="1462" t="s">
        <v>1321</v>
      </c>
      <c r="J17" s="1464">
        <f>J15</f>
        <v>0.97</v>
      </c>
      <c r="K17" s="1465" t="s">
        <v>1320</v>
      </c>
      <c r="L17" s="1464">
        <f t="shared" ref="L17:L19" si="0">ROUND(H17/J17,AB17)</f>
        <v>12.87</v>
      </c>
      <c r="M17" s="1466" t="s">
        <v>353</v>
      </c>
      <c r="O17" s="1630"/>
      <c r="P17" s="1629" t="s">
        <v>1601</v>
      </c>
      <c r="Q17" s="1460" t="s">
        <v>655</v>
      </c>
      <c r="R17" s="1461"/>
      <c r="S17" s="1462"/>
      <c r="T17" s="1463"/>
      <c r="U17" s="1464"/>
      <c r="V17" s="1462" t="s">
        <v>1321</v>
      </c>
      <c r="W17" s="1464"/>
      <c r="X17" s="1465" t="s">
        <v>1320</v>
      </c>
      <c r="Y17" s="1464"/>
      <c r="Z17" s="1466" t="s">
        <v>353</v>
      </c>
      <c r="AB17" s="1495">
        <v>2</v>
      </c>
      <c r="AC17" s="1495" t="s">
        <v>1611</v>
      </c>
    </row>
    <row r="18" spans="1:34" ht="17.399999999999999">
      <c r="A18" s="142"/>
      <c r="B18" s="1630"/>
      <c r="C18" s="1632"/>
      <c r="D18" s="1450" t="s">
        <v>1307</v>
      </c>
      <c r="E18" s="560"/>
      <c r="F18" s="560"/>
      <c r="G18" s="560"/>
      <c r="H18" s="1451">
        <f>Text!O1198</f>
        <v>0.4</v>
      </c>
      <c r="I18" s="1431" t="s">
        <v>1321</v>
      </c>
      <c r="J18" s="1452">
        <f>J17</f>
        <v>0.97</v>
      </c>
      <c r="K18" s="1453" t="s">
        <v>1320</v>
      </c>
      <c r="L18" s="1452">
        <f t="shared" si="0"/>
        <v>0.41</v>
      </c>
      <c r="M18" s="1454" t="s">
        <v>353</v>
      </c>
      <c r="O18" s="1630"/>
      <c r="P18" s="1632"/>
      <c r="Q18" s="1450" t="s">
        <v>1307</v>
      </c>
      <c r="R18" s="560"/>
      <c r="S18" s="560"/>
      <c r="T18" s="560"/>
      <c r="U18" s="1451"/>
      <c r="V18" s="1431" t="s">
        <v>1321</v>
      </c>
      <c r="W18" s="1452"/>
      <c r="X18" s="1453" t="s">
        <v>1320</v>
      </c>
      <c r="Y18" s="1452"/>
      <c r="Z18" s="1454" t="s">
        <v>353</v>
      </c>
      <c r="AB18" s="1495">
        <v>2</v>
      </c>
      <c r="AC18" s="1495" t="s">
        <v>1611</v>
      </c>
    </row>
    <row r="19" spans="1:34" ht="17.399999999999999">
      <c r="A19" s="142"/>
      <c r="B19" s="1630"/>
      <c r="C19" s="1633"/>
      <c r="D19" s="1455" t="s">
        <v>93</v>
      </c>
      <c r="E19" s="568"/>
      <c r="F19" s="568"/>
      <c r="G19" s="568"/>
      <c r="H19" s="1456">
        <f>Text!O1215</f>
        <v>6.62</v>
      </c>
      <c r="I19" s="1441" t="s">
        <v>1321</v>
      </c>
      <c r="J19" s="1457">
        <f>J18</f>
        <v>0.97</v>
      </c>
      <c r="K19" s="1458" t="s">
        <v>1320</v>
      </c>
      <c r="L19" s="1457">
        <f t="shared" si="0"/>
        <v>6.82</v>
      </c>
      <c r="M19" s="1459" t="s">
        <v>353</v>
      </c>
      <c r="O19" s="1630"/>
      <c r="P19" s="1633"/>
      <c r="Q19" s="1455" t="s">
        <v>93</v>
      </c>
      <c r="R19" s="568"/>
      <c r="S19" s="568"/>
      <c r="T19" s="568"/>
      <c r="U19" s="1456"/>
      <c r="V19" s="1441" t="s">
        <v>1321</v>
      </c>
      <c r="W19" s="1457"/>
      <c r="X19" s="1458" t="s">
        <v>1320</v>
      </c>
      <c r="Y19" s="1457"/>
      <c r="Z19" s="1459" t="s">
        <v>353</v>
      </c>
      <c r="AB19" s="1495">
        <v>2</v>
      </c>
      <c r="AC19" s="1495" t="s">
        <v>1611</v>
      </c>
    </row>
    <row r="20" spans="1:34" ht="17.399999999999999">
      <c r="A20" s="142"/>
      <c r="B20" s="1631"/>
      <c r="C20" s="1484" t="s">
        <v>1604</v>
      </c>
      <c r="D20" s="1470"/>
      <c r="E20" s="1470"/>
      <c r="F20" s="1470"/>
      <c r="G20" s="1470"/>
      <c r="H20" s="1489">
        <f>SUM(H15:H19)</f>
        <v>36.17</v>
      </c>
      <c r="I20" s="1490" t="s">
        <v>1321</v>
      </c>
      <c r="J20" s="1489">
        <f>J19</f>
        <v>0.97</v>
      </c>
      <c r="K20" s="1446" t="s">
        <v>1320</v>
      </c>
      <c r="L20" s="1489">
        <f>SUM(L14:L19)</f>
        <v>37.290000000000006</v>
      </c>
      <c r="M20" s="1488" t="s">
        <v>353</v>
      </c>
      <c r="O20" s="1631"/>
      <c r="P20" s="1484" t="s">
        <v>1604</v>
      </c>
      <c r="Q20" s="1470"/>
      <c r="R20" s="1470"/>
      <c r="S20" s="1470"/>
      <c r="T20" s="1470"/>
      <c r="U20" s="1489"/>
      <c r="V20" s="1490" t="s">
        <v>1321</v>
      </c>
      <c r="W20" s="1489"/>
      <c r="X20" s="1446" t="s">
        <v>1320</v>
      </c>
      <c r="Y20" s="1489"/>
      <c r="Z20" s="1488" t="s">
        <v>353</v>
      </c>
      <c r="AB20" s="1495"/>
      <c r="AC20" s="1495"/>
    </row>
    <row r="21" spans="1:34" s="1340" customFormat="1">
      <c r="B21" s="99"/>
      <c r="C21" s="99"/>
      <c r="D21" s="34"/>
      <c r="E21" s="34"/>
      <c r="F21" s="34"/>
      <c r="G21" s="34"/>
      <c r="H21" s="1445"/>
      <c r="I21" s="1248"/>
      <c r="J21" s="1445"/>
      <c r="K21" s="99"/>
      <c r="L21" s="1445"/>
      <c r="M21" s="1248"/>
      <c r="O21" s="99"/>
      <c r="P21" s="99"/>
      <c r="Q21" s="34"/>
      <c r="R21" s="34"/>
      <c r="S21" s="34"/>
      <c r="T21" s="34"/>
      <c r="U21" s="1445"/>
      <c r="V21" s="1248"/>
      <c r="W21" s="1445"/>
      <c r="X21" s="99"/>
      <c r="Y21" s="1445"/>
      <c r="Z21" s="1248"/>
      <c r="AB21" s="1495"/>
      <c r="AC21" s="1495"/>
    </row>
    <row r="22" spans="1:34" s="1340" customFormat="1" ht="17.399999999999999">
      <c r="A22" s="142"/>
      <c r="B22" s="1629" t="s">
        <v>1599</v>
      </c>
      <c r="C22" s="1629" t="s">
        <v>1600</v>
      </c>
      <c r="D22" s="1472"/>
      <c r="E22" s="593"/>
      <c r="F22" s="593"/>
      <c r="G22" s="593"/>
      <c r="H22" s="1449" t="s">
        <v>1595</v>
      </c>
      <c r="I22" s="593"/>
      <c r="J22" s="1449" t="s">
        <v>1596</v>
      </c>
      <c r="K22" s="593"/>
      <c r="L22" s="1449" t="s">
        <v>1594</v>
      </c>
      <c r="M22" s="1473"/>
      <c r="O22" s="1629" t="s">
        <v>1599</v>
      </c>
      <c r="P22" s="1629" t="s">
        <v>1600</v>
      </c>
      <c r="Q22" s="1472"/>
      <c r="R22" s="593"/>
      <c r="S22" s="593"/>
      <c r="T22" s="593"/>
      <c r="U22" s="1449" t="s">
        <v>1595</v>
      </c>
      <c r="V22" s="593"/>
      <c r="W22" s="1449" t="s">
        <v>1596</v>
      </c>
      <c r="X22" s="593"/>
      <c r="Y22" s="1449" t="s">
        <v>1594</v>
      </c>
      <c r="Z22" s="1473"/>
      <c r="AB22" s="1495">
        <v>2</v>
      </c>
      <c r="AC22" s="1495" t="s">
        <v>1611</v>
      </c>
    </row>
    <row r="23" spans="1:34" ht="17.399999999999999">
      <c r="A23" s="142"/>
      <c r="B23" s="1630"/>
      <c r="C23" s="1630"/>
      <c r="D23" s="1450" t="s">
        <v>95</v>
      </c>
      <c r="E23" s="560">
        <v>23000</v>
      </c>
      <c r="F23" s="1453" t="s">
        <v>1323</v>
      </c>
      <c r="G23" s="560"/>
      <c r="H23" s="1453">
        <f>ROUND(E23/14,0)</f>
        <v>1643</v>
      </c>
      <c r="I23" s="1453" t="s">
        <v>1322</v>
      </c>
      <c r="J23" s="560">
        <f>3000*70%/14</f>
        <v>150</v>
      </c>
      <c r="K23" s="1474" t="s">
        <v>1585</v>
      </c>
      <c r="L23" s="1475">
        <f t="shared" ref="L23:L25" si="1">ROUND(H23/J23,AB23)</f>
        <v>10.95</v>
      </c>
      <c r="M23" s="1454" t="s">
        <v>353</v>
      </c>
      <c r="O23" s="1630"/>
      <c r="P23" s="1630"/>
      <c r="Q23" s="1450" t="s">
        <v>95</v>
      </c>
      <c r="R23" s="560"/>
      <c r="S23" s="1453"/>
      <c r="T23" s="560"/>
      <c r="U23" s="1453"/>
      <c r="V23" s="1453" t="s">
        <v>1322</v>
      </c>
      <c r="W23" s="560"/>
      <c r="X23" s="1474" t="s">
        <v>1585</v>
      </c>
      <c r="Y23" s="1475"/>
      <c r="Z23" s="1454" t="s">
        <v>353</v>
      </c>
      <c r="AB23" s="1495">
        <v>2</v>
      </c>
      <c r="AC23" s="1495" t="s">
        <v>1611</v>
      </c>
    </row>
    <row r="24" spans="1:34" ht="17.399999999999999">
      <c r="A24" s="142"/>
      <c r="B24" s="1630"/>
      <c r="C24" s="1632"/>
      <c r="D24" s="1450" t="s">
        <v>843</v>
      </c>
      <c r="E24" s="560">
        <f>E23</f>
        <v>23000</v>
      </c>
      <c r="F24" s="1453" t="s">
        <v>1324</v>
      </c>
      <c r="G24" s="560"/>
      <c r="H24" s="560">
        <f>E24/2*3%</f>
        <v>345</v>
      </c>
      <c r="I24" s="560" t="s">
        <v>1322</v>
      </c>
      <c r="J24" s="560">
        <f>J23</f>
        <v>150</v>
      </c>
      <c r="K24" s="1474" t="s">
        <v>1585</v>
      </c>
      <c r="L24" s="1475">
        <f t="shared" si="1"/>
        <v>2.2999999999999998</v>
      </c>
      <c r="M24" s="1454" t="s">
        <v>353</v>
      </c>
      <c r="O24" s="1630"/>
      <c r="P24" s="1632"/>
      <c r="Q24" s="1450" t="s">
        <v>843</v>
      </c>
      <c r="R24" s="560"/>
      <c r="S24" s="1453"/>
      <c r="T24" s="560"/>
      <c r="U24" s="560"/>
      <c r="V24" s="560" t="s">
        <v>1322</v>
      </c>
      <c r="W24" s="560"/>
      <c r="X24" s="1474" t="s">
        <v>1585</v>
      </c>
      <c r="Y24" s="1475"/>
      <c r="Z24" s="1454" t="s">
        <v>353</v>
      </c>
      <c r="AB24" s="1495">
        <v>2</v>
      </c>
      <c r="AC24" s="1495" t="s">
        <v>1611</v>
      </c>
    </row>
    <row r="25" spans="1:34" ht="17.399999999999999">
      <c r="A25" s="142"/>
      <c r="B25" s="1630"/>
      <c r="C25" s="1633"/>
      <c r="D25" s="1455" t="s">
        <v>1602</v>
      </c>
      <c r="E25" s="568"/>
      <c r="F25" s="1458"/>
      <c r="G25" s="568"/>
      <c r="H25" s="568">
        <v>160</v>
      </c>
      <c r="I25" s="568" t="s">
        <v>1322</v>
      </c>
      <c r="J25" s="568">
        <f>J24</f>
        <v>150</v>
      </c>
      <c r="K25" s="1482" t="s">
        <v>1585</v>
      </c>
      <c r="L25" s="1483">
        <f t="shared" si="1"/>
        <v>1.07</v>
      </c>
      <c r="M25" s="1459" t="s">
        <v>353</v>
      </c>
      <c r="O25" s="1630"/>
      <c r="P25" s="1633"/>
      <c r="Q25" s="1455" t="s">
        <v>1602</v>
      </c>
      <c r="R25" s="568"/>
      <c r="S25" s="1458"/>
      <c r="T25" s="568"/>
      <c r="U25" s="568"/>
      <c r="V25" s="568" t="s">
        <v>1322</v>
      </c>
      <c r="W25" s="568"/>
      <c r="X25" s="1482" t="s">
        <v>1585</v>
      </c>
      <c r="Y25" s="1483"/>
      <c r="Z25" s="1459" t="s">
        <v>353</v>
      </c>
      <c r="AB25" s="1495">
        <v>2</v>
      </c>
      <c r="AC25" s="1495" t="s">
        <v>1611</v>
      </c>
    </row>
    <row r="26" spans="1:34" s="1340" customFormat="1" ht="17.399999999999999">
      <c r="A26" s="142"/>
      <c r="B26" s="1630"/>
      <c r="C26" s="1629" t="s">
        <v>1601</v>
      </c>
      <c r="D26" s="1460"/>
      <c r="E26" s="1467"/>
      <c r="F26" s="1465"/>
      <c r="G26" s="1467"/>
      <c r="H26" s="1465" t="s">
        <v>1594</v>
      </c>
      <c r="I26" s="1467"/>
      <c r="J26" s="1465"/>
      <c r="K26" s="1467"/>
      <c r="L26" s="1465" t="s">
        <v>1594</v>
      </c>
      <c r="M26" s="1466"/>
      <c r="O26" s="1630"/>
      <c r="P26" s="1629" t="s">
        <v>1601</v>
      </c>
      <c r="Q26" s="1460"/>
      <c r="R26" s="1467"/>
      <c r="S26" s="1465"/>
      <c r="T26" s="1467"/>
      <c r="U26" s="1465" t="s">
        <v>1594</v>
      </c>
      <c r="V26" s="1467"/>
      <c r="W26" s="1465"/>
      <c r="X26" s="1467"/>
      <c r="Y26" s="1465" t="s">
        <v>1594</v>
      </c>
      <c r="Z26" s="1466"/>
      <c r="AB26" s="1495">
        <v>2</v>
      </c>
      <c r="AC26" s="1495" t="s">
        <v>1611</v>
      </c>
    </row>
    <row r="27" spans="1:34" ht="17.399999999999999">
      <c r="A27" s="142"/>
      <c r="B27" s="1630"/>
      <c r="C27" s="1632"/>
      <c r="D27" s="1450" t="s">
        <v>93</v>
      </c>
      <c r="E27" s="1453" t="s">
        <v>1317</v>
      </c>
      <c r="F27" s="1476">
        <v>0.7</v>
      </c>
      <c r="G27" s="1453" t="s">
        <v>1329</v>
      </c>
      <c r="H27" s="1452">
        <v>12</v>
      </c>
      <c r="I27" s="1431" t="s">
        <v>1318</v>
      </c>
      <c r="J27" s="954">
        <f>ROUND(F27^0.35,3)</f>
        <v>0.88300000000000001</v>
      </c>
      <c r="K27" s="1478" t="s">
        <v>63</v>
      </c>
      <c r="L27" s="1452">
        <f>ROUND(H27*J27,2)</f>
        <v>10.6</v>
      </c>
      <c r="M27" s="1454" t="s">
        <v>353</v>
      </c>
      <c r="O27" s="1630"/>
      <c r="P27" s="1632"/>
      <c r="Q27" s="1450" t="s">
        <v>93</v>
      </c>
      <c r="R27" s="1453"/>
      <c r="S27" s="1476"/>
      <c r="T27" s="1453"/>
      <c r="U27" s="1452"/>
      <c r="V27" s="1431" t="s">
        <v>353</v>
      </c>
      <c r="W27" s="1477"/>
      <c r="X27" s="1478" t="s">
        <v>63</v>
      </c>
      <c r="Y27" s="1452"/>
      <c r="Z27" s="1454" t="s">
        <v>353</v>
      </c>
      <c r="AB27" s="1495">
        <v>2</v>
      </c>
      <c r="AC27" s="1495" t="s">
        <v>1611</v>
      </c>
    </row>
    <row r="28" spans="1:34" s="1340" customFormat="1" ht="17.399999999999999">
      <c r="A28" s="142"/>
      <c r="B28" s="1630"/>
      <c r="C28" s="1633"/>
      <c r="D28" s="1455"/>
      <c r="E28" s="1458"/>
      <c r="F28" s="1479"/>
      <c r="G28" s="1458"/>
      <c r="H28" s="1457"/>
      <c r="I28" s="1431"/>
      <c r="J28" s="1480"/>
      <c r="K28" s="1481"/>
      <c r="L28" s="1457"/>
      <c r="M28" s="1459" t="s">
        <v>353</v>
      </c>
      <c r="O28" s="1630"/>
      <c r="P28" s="1633"/>
      <c r="Q28" s="1455"/>
      <c r="R28" s="1458"/>
      <c r="S28" s="1479"/>
      <c r="T28" s="1458"/>
      <c r="U28" s="1457"/>
      <c r="V28" s="1431"/>
      <c r="W28" s="1480"/>
      <c r="X28" s="1481"/>
      <c r="Y28" s="1457"/>
      <c r="Z28" s="1459" t="s">
        <v>353</v>
      </c>
      <c r="AB28" s="1495">
        <v>2</v>
      </c>
      <c r="AC28" s="1495" t="s">
        <v>1611</v>
      </c>
    </row>
    <row r="29" spans="1:34" ht="17.399999999999999">
      <c r="A29" s="142"/>
      <c r="B29" s="1631"/>
      <c r="C29" s="1446" t="s">
        <v>1603</v>
      </c>
      <c r="D29" s="530"/>
      <c r="E29" s="530"/>
      <c r="F29" s="530"/>
      <c r="G29" s="530"/>
      <c r="H29" s="530"/>
      <c r="I29" s="530"/>
      <c r="J29" s="530"/>
      <c r="K29" s="530"/>
      <c r="L29" s="1183">
        <f>SUM(L23:L28)</f>
        <v>24.92</v>
      </c>
      <c r="M29" s="1184" t="s">
        <v>353</v>
      </c>
      <c r="O29" s="1631"/>
      <c r="P29" s="1484" t="s">
        <v>1603</v>
      </c>
      <c r="Q29" s="1470"/>
      <c r="R29" s="1470"/>
      <c r="S29" s="1470"/>
      <c r="T29" s="1470"/>
      <c r="U29" s="1470"/>
      <c r="V29" s="1470"/>
      <c r="W29" s="1470"/>
      <c r="X29" s="1470"/>
      <c r="Y29" s="1489"/>
      <c r="Z29" s="1488" t="s">
        <v>353</v>
      </c>
      <c r="AB29" s="1495"/>
      <c r="AC29" s="1495"/>
    </row>
    <row r="30" spans="1:34" s="1340" customFormat="1">
      <c r="B30" s="1448"/>
      <c r="O30" s="1448"/>
      <c r="AB30" s="1495"/>
      <c r="AC30" s="1495"/>
    </row>
    <row r="31" spans="1:34" s="1340" customFormat="1" ht="17.399999999999999">
      <c r="A31" s="142"/>
      <c r="B31" s="1484" t="s">
        <v>1598</v>
      </c>
      <c r="C31" s="1470"/>
      <c r="D31" s="1470"/>
      <c r="E31" s="1470"/>
      <c r="F31" s="1470"/>
      <c r="G31" s="1470"/>
      <c r="H31" s="1470"/>
      <c r="I31" s="1470"/>
      <c r="J31" s="1470"/>
      <c r="K31" s="1470"/>
      <c r="L31" s="1489">
        <f>SUM(L20:L27)</f>
        <v>62.210000000000008</v>
      </c>
      <c r="M31" s="1488" t="s">
        <v>353</v>
      </c>
      <c r="N31"/>
      <c r="O31" s="1484" t="s">
        <v>1598</v>
      </c>
      <c r="P31" s="1470"/>
      <c r="Q31" s="1470"/>
      <c r="R31" s="1470"/>
      <c r="S31" s="1470"/>
      <c r="T31" s="1470"/>
      <c r="U31" s="1470"/>
      <c r="V31" s="1470"/>
      <c r="W31" s="1470"/>
      <c r="X31" s="1470"/>
      <c r="Y31" s="1489"/>
      <c r="Z31" s="1488" t="s">
        <v>353</v>
      </c>
      <c r="AA31"/>
      <c r="AB31" s="1495">
        <v>2</v>
      </c>
      <c r="AC31" s="1495" t="s">
        <v>1611</v>
      </c>
      <c r="AD31"/>
      <c r="AE31"/>
      <c r="AF31"/>
      <c r="AG31"/>
      <c r="AH31"/>
    </row>
    <row r="32" spans="1:34" s="1340" customFormat="1">
      <c r="B32" s="99"/>
      <c r="C32" s="34"/>
      <c r="D32" s="34"/>
      <c r="E32" s="34"/>
      <c r="F32" s="34"/>
      <c r="G32" s="34"/>
      <c r="H32" s="34"/>
      <c r="I32" s="34"/>
      <c r="J32" s="34"/>
      <c r="K32" s="34"/>
      <c r="L32" s="1445"/>
      <c r="M32" s="1248"/>
      <c r="O32" s="99"/>
      <c r="P32" s="34"/>
      <c r="Q32" s="34"/>
      <c r="R32" s="34"/>
      <c r="S32" s="34"/>
      <c r="T32" s="34"/>
      <c r="U32" s="34"/>
      <c r="V32" s="34"/>
      <c r="W32" s="34"/>
      <c r="X32" s="34"/>
      <c r="Y32" s="1445"/>
      <c r="Z32" s="1248"/>
      <c r="AB32" s="1495">
        <v>2</v>
      </c>
      <c r="AC32" s="1495" t="s">
        <v>1611</v>
      </c>
    </row>
    <row r="33" spans="1:29" ht="17.399999999999999">
      <c r="A33" s="142"/>
      <c r="B33" s="1484" t="s">
        <v>1185</v>
      </c>
      <c r="C33" s="1446" t="s">
        <v>1606</v>
      </c>
      <c r="D33" s="1470"/>
      <c r="E33" s="1470"/>
      <c r="F33" s="1470"/>
      <c r="G33" s="1470"/>
      <c r="H33" s="1470">
        <v>14</v>
      </c>
      <c r="I33" s="1485" t="s">
        <v>1605</v>
      </c>
      <c r="J33" s="1486">
        <v>1.22</v>
      </c>
      <c r="K33" s="1486" t="s">
        <v>1304</v>
      </c>
      <c r="L33" s="1487">
        <f>ROUND(J33*H33,2)</f>
        <v>17.079999999999998</v>
      </c>
      <c r="M33" s="1488" t="s">
        <v>353</v>
      </c>
      <c r="O33" s="1484" t="s">
        <v>1185</v>
      </c>
      <c r="P33" s="1446" t="s">
        <v>1606</v>
      </c>
      <c r="Q33" s="1470"/>
      <c r="R33" s="1470"/>
      <c r="S33" s="1470"/>
      <c r="T33" s="1470"/>
      <c r="U33" s="1470"/>
      <c r="V33" s="1485" t="s">
        <v>1605</v>
      </c>
      <c r="W33" s="1486"/>
      <c r="X33" s="1486" t="s">
        <v>1304</v>
      </c>
      <c r="Y33" s="1487"/>
      <c r="Z33" s="1488" t="s">
        <v>353</v>
      </c>
      <c r="AB33" s="1495">
        <v>2</v>
      </c>
      <c r="AC33" s="1495" t="s">
        <v>1611</v>
      </c>
    </row>
    <row r="34" spans="1:29" s="1340" customFormat="1">
      <c r="B34" s="98"/>
      <c r="C34" s="98"/>
      <c r="D34" s="33"/>
      <c r="E34" s="33"/>
      <c r="F34" s="33"/>
      <c r="G34" s="1179"/>
      <c r="J34" s="33"/>
      <c r="K34" s="33"/>
      <c r="L34" s="828"/>
      <c r="M34" s="84"/>
      <c r="O34" s="98"/>
      <c r="P34" s="98"/>
      <c r="Q34" s="33"/>
      <c r="R34" s="33"/>
      <c r="S34" s="33"/>
      <c r="T34" s="1179"/>
      <c r="W34" s="33"/>
      <c r="X34" s="33"/>
      <c r="Y34" s="828"/>
      <c r="Z34" s="84"/>
    </row>
    <row r="35" spans="1:29" ht="17.399999999999999">
      <c r="A35" s="142"/>
      <c r="B35" s="1484" t="s">
        <v>63</v>
      </c>
      <c r="C35" s="1446" t="s">
        <v>1177</v>
      </c>
      <c r="D35" s="1470"/>
      <c r="E35" s="1470"/>
      <c r="F35" s="1470"/>
      <c r="G35" s="1470"/>
      <c r="H35" s="1470"/>
      <c r="I35" s="1470"/>
      <c r="J35" s="1470"/>
      <c r="K35" s="1470"/>
      <c r="L35" s="1489">
        <f>L31+L33</f>
        <v>79.290000000000006</v>
      </c>
      <c r="M35" s="1488" t="s">
        <v>353</v>
      </c>
      <c r="O35" s="1484" t="s">
        <v>63</v>
      </c>
      <c r="P35" s="1446" t="s">
        <v>1177</v>
      </c>
      <c r="Q35" s="1470"/>
      <c r="R35" s="1470"/>
      <c r="S35" s="1470"/>
      <c r="T35" s="1470"/>
      <c r="U35" s="1470"/>
      <c r="V35" s="1470"/>
      <c r="W35" s="1470"/>
      <c r="X35" s="1470"/>
      <c r="Y35" s="1489"/>
      <c r="Z35" s="1488" t="s">
        <v>353</v>
      </c>
    </row>
    <row r="37" spans="1:29">
      <c r="B37" s="6" t="s">
        <v>1626</v>
      </c>
      <c r="D37" s="1340"/>
      <c r="E37" s="1340"/>
      <c r="F37" s="1537">
        <v>27</v>
      </c>
      <c r="G37" s="6" t="s">
        <v>353</v>
      </c>
      <c r="I37" s="1635" t="s">
        <v>1622</v>
      </c>
      <c r="J37" s="1637" t="s">
        <v>1618</v>
      </c>
      <c r="K37" s="1637"/>
      <c r="L37" s="1637"/>
      <c r="M37" s="1637"/>
    </row>
    <row r="38" spans="1:29" s="1526" customFormat="1">
      <c r="I38" s="1636"/>
      <c r="J38" s="1638" t="s">
        <v>1621</v>
      </c>
      <c r="K38" s="1638"/>
      <c r="L38" s="1638"/>
      <c r="M38" s="1638"/>
    </row>
    <row r="39" spans="1:29" s="1526" customFormat="1">
      <c r="D39" s="1526" t="s">
        <v>1625</v>
      </c>
      <c r="E39" s="1535" t="s">
        <v>1627</v>
      </c>
      <c r="F39" s="1536">
        <f>F37</f>
        <v>27</v>
      </c>
      <c r="G39" s="1526" t="s">
        <v>1624</v>
      </c>
    </row>
    <row r="40" spans="1:29" s="1526" customFormat="1">
      <c r="I40" s="1635" t="s">
        <v>1622</v>
      </c>
      <c r="J40" s="1529"/>
      <c r="K40" s="1529">
        <f>SUM(H23:H25)</f>
        <v>2148</v>
      </c>
      <c r="L40" s="1529" t="s">
        <v>354</v>
      </c>
      <c r="M40" s="1529"/>
    </row>
    <row r="41" spans="1:29" s="1340" customFormat="1">
      <c r="D41" s="1528" t="s">
        <v>1618</v>
      </c>
      <c r="E41" s="1635" t="s">
        <v>1620</v>
      </c>
      <c r="F41" s="1634">
        <f>F37</f>
        <v>27</v>
      </c>
      <c r="G41" s="1634" t="s">
        <v>1624</v>
      </c>
      <c r="H41" s="1634"/>
      <c r="I41" s="1636"/>
      <c r="J41" s="1530">
        <f>F37</f>
        <v>27</v>
      </c>
      <c r="K41" s="1530" t="s">
        <v>1623</v>
      </c>
      <c r="L41" s="1531">
        <f>L27</f>
        <v>10.6</v>
      </c>
      <c r="M41" s="1530" t="s">
        <v>353</v>
      </c>
    </row>
    <row r="42" spans="1:29" s="1526" customFormat="1">
      <c r="D42" s="641" t="s">
        <v>1619</v>
      </c>
      <c r="E42" s="1636"/>
      <c r="F42" s="1634"/>
      <c r="G42" s="1634"/>
      <c r="H42" s="1634"/>
      <c r="I42" s="1527"/>
      <c r="J42" s="1533"/>
      <c r="K42" s="1533"/>
      <c r="L42" s="1534"/>
      <c r="M42" s="1533"/>
    </row>
    <row r="43" spans="1:29" s="1340" customFormat="1">
      <c r="D43" s="1526"/>
      <c r="E43" s="1527"/>
      <c r="F43" s="1532"/>
      <c r="G43" s="1532"/>
      <c r="I43" s="1526" t="s">
        <v>1622</v>
      </c>
      <c r="J43" s="1340">
        <f>K40/(J41-L41)</f>
        <v>130.97560975609758</v>
      </c>
      <c r="K43" s="1340" t="s">
        <v>353</v>
      </c>
    </row>
    <row r="44" spans="1:29" s="1340" customFormat="1">
      <c r="I44" s="1526"/>
    </row>
    <row r="45" spans="1:29">
      <c r="B45" s="186" t="s">
        <v>1181</v>
      </c>
      <c r="C45" s="1447"/>
      <c r="D45" s="185"/>
      <c r="E45" s="185"/>
      <c r="F45" s="185"/>
      <c r="G45" s="185"/>
      <c r="H45" s="185"/>
      <c r="I45" s="185"/>
      <c r="J45" s="424"/>
      <c r="K45" s="424"/>
      <c r="L45" s="424"/>
      <c r="M45" s="425"/>
      <c r="N45" s="1340"/>
      <c r="O45" s="186" t="s">
        <v>1181</v>
      </c>
      <c r="P45" s="1447"/>
      <c r="Q45" s="185"/>
      <c r="R45" s="185"/>
      <c r="S45" s="185"/>
      <c r="T45" s="185"/>
      <c r="U45" s="185"/>
      <c r="V45" s="185"/>
      <c r="W45" s="424"/>
      <c r="X45" s="424"/>
      <c r="Y45" s="424"/>
      <c r="Z45" s="425"/>
    </row>
    <row r="46" spans="1:29">
      <c r="B46" s="65"/>
      <c r="C46" s="135" t="s">
        <v>1182</v>
      </c>
      <c r="D46" s="59"/>
      <c r="E46" s="59"/>
      <c r="F46" s="59"/>
      <c r="G46" s="59"/>
      <c r="H46" s="59"/>
      <c r="I46" s="59"/>
      <c r="J46" s="59"/>
      <c r="K46" s="59"/>
      <c r="L46" s="59"/>
      <c r="M46" s="52"/>
      <c r="N46" s="1340"/>
      <c r="O46" s="65"/>
      <c r="P46" s="135" t="s">
        <v>1182</v>
      </c>
      <c r="Q46" s="59"/>
      <c r="R46" s="59"/>
      <c r="S46" s="59"/>
      <c r="T46" s="59"/>
      <c r="U46" s="59"/>
      <c r="V46" s="59"/>
      <c r="W46" s="59"/>
      <c r="X46" s="59"/>
      <c r="Y46" s="59"/>
      <c r="Z46" s="52"/>
    </row>
    <row r="47" spans="1:29" ht="13.8">
      <c r="B47" s="51"/>
      <c r="C47" s="11" t="s">
        <v>1586</v>
      </c>
      <c r="D47" s="35"/>
      <c r="E47" s="35"/>
      <c r="F47" s="35"/>
      <c r="G47" s="35"/>
      <c r="H47" s="35"/>
      <c r="I47" s="35"/>
      <c r="J47" s="35"/>
      <c r="K47" s="35"/>
      <c r="L47" s="35"/>
      <c r="M47" s="53"/>
      <c r="N47" s="1340"/>
      <c r="O47" s="51"/>
      <c r="P47" s="11" t="s">
        <v>1586</v>
      </c>
      <c r="Q47" s="35"/>
      <c r="R47" s="35"/>
      <c r="S47" s="35"/>
      <c r="T47" s="35"/>
      <c r="U47" s="35"/>
      <c r="V47" s="35"/>
      <c r="W47" s="35"/>
      <c r="X47" s="35"/>
      <c r="Y47" s="35"/>
      <c r="Z47" s="53"/>
    </row>
    <row r="48" spans="1:29">
      <c r="B48" s="51"/>
      <c r="C48" s="11" t="s">
        <v>1587</v>
      </c>
      <c r="D48" s="35"/>
      <c r="E48" s="35"/>
      <c r="F48" s="35"/>
      <c r="G48" s="35"/>
      <c r="H48" s="35"/>
      <c r="I48" s="35"/>
      <c r="J48" s="35"/>
      <c r="K48" s="35"/>
      <c r="L48" s="35"/>
      <c r="M48" s="53"/>
      <c r="N48" s="1340"/>
      <c r="O48" s="51"/>
      <c r="P48" s="11" t="s">
        <v>1587</v>
      </c>
      <c r="Q48" s="35"/>
      <c r="R48" s="35"/>
      <c r="S48" s="35"/>
      <c r="T48" s="35"/>
      <c r="U48" s="35"/>
      <c r="V48" s="35"/>
      <c r="W48" s="35"/>
      <c r="X48" s="35"/>
      <c r="Y48" s="35"/>
      <c r="Z48" s="53"/>
    </row>
    <row r="49" spans="2:26">
      <c r="B49" s="51"/>
      <c r="C49" s="11" t="s">
        <v>1588</v>
      </c>
      <c r="D49" s="35"/>
      <c r="E49" s="35"/>
      <c r="F49" s="35"/>
      <c r="G49" s="35"/>
      <c r="H49" s="35"/>
      <c r="I49" s="35"/>
      <c r="J49" s="35"/>
      <c r="K49" s="35"/>
      <c r="L49" s="35"/>
      <c r="M49" s="53"/>
      <c r="N49" s="1340"/>
      <c r="O49" s="51"/>
      <c r="P49" s="11" t="s">
        <v>1588</v>
      </c>
      <c r="Q49" s="35"/>
      <c r="R49" s="35"/>
      <c r="S49" s="35"/>
      <c r="T49" s="35"/>
      <c r="U49" s="35"/>
      <c r="V49" s="35"/>
      <c r="W49" s="35"/>
      <c r="X49" s="35"/>
      <c r="Y49" s="35"/>
      <c r="Z49" s="53"/>
    </row>
    <row r="50" spans="2:26">
      <c r="B50" s="616"/>
      <c r="C50" s="618" t="s">
        <v>1589</v>
      </c>
      <c r="D50" s="619"/>
      <c r="E50" s="619"/>
      <c r="F50" s="619"/>
      <c r="G50" s="619"/>
      <c r="H50" s="619"/>
      <c r="I50" s="619"/>
      <c r="J50" s="619"/>
      <c r="K50" s="619"/>
      <c r="L50" s="619"/>
      <c r="M50" s="620"/>
      <c r="N50" s="1340"/>
      <c r="O50" s="616"/>
      <c r="P50" s="618" t="s">
        <v>1589</v>
      </c>
      <c r="Q50" s="619"/>
      <c r="R50" s="619"/>
      <c r="S50" s="619"/>
      <c r="T50" s="619"/>
      <c r="U50" s="619"/>
      <c r="V50" s="619"/>
      <c r="W50" s="619"/>
      <c r="X50" s="619"/>
      <c r="Y50" s="619"/>
      <c r="Z50" s="620"/>
    </row>
    <row r="51" spans="2:26">
      <c r="B51" s="66" t="s">
        <v>1185</v>
      </c>
      <c r="C51" s="36" t="s">
        <v>1186</v>
      </c>
      <c r="D51" s="35"/>
      <c r="E51" s="35"/>
      <c r="F51" s="35"/>
      <c r="G51" s="35"/>
      <c r="H51" s="35"/>
      <c r="I51" s="35"/>
      <c r="J51" s="35"/>
      <c r="K51" s="35"/>
      <c r="L51" s="35"/>
      <c r="M51" s="53"/>
      <c r="N51" s="1340"/>
      <c r="O51" s="66" t="s">
        <v>1185</v>
      </c>
      <c r="P51" s="36" t="s">
        <v>1186</v>
      </c>
      <c r="Q51" s="35"/>
      <c r="R51" s="35"/>
      <c r="S51" s="35"/>
      <c r="T51" s="35"/>
      <c r="U51" s="35"/>
      <c r="V51" s="35"/>
      <c r="W51" s="35"/>
      <c r="X51" s="35"/>
      <c r="Y51" s="35"/>
      <c r="Z51" s="53"/>
    </row>
    <row r="52" spans="2:26">
      <c r="B52" s="51"/>
      <c r="C52" s="11" t="s">
        <v>1590</v>
      </c>
      <c r="D52" s="35"/>
      <c r="E52" s="35"/>
      <c r="F52" s="35"/>
      <c r="G52" s="35"/>
      <c r="H52" s="35"/>
      <c r="I52" s="35"/>
      <c r="J52" s="35"/>
      <c r="K52" s="35"/>
      <c r="L52" s="35"/>
      <c r="M52" s="53"/>
      <c r="N52" s="1340"/>
      <c r="O52" s="51"/>
      <c r="P52" s="11" t="s">
        <v>1590</v>
      </c>
      <c r="Q52" s="35"/>
      <c r="R52" s="35"/>
      <c r="S52" s="35"/>
      <c r="T52" s="35"/>
      <c r="U52" s="35"/>
      <c r="V52" s="35"/>
      <c r="W52" s="35"/>
      <c r="X52" s="35"/>
      <c r="Y52" s="35"/>
      <c r="Z52" s="53"/>
    </row>
    <row r="53" spans="2:26">
      <c r="B53" s="51"/>
      <c r="C53" s="11" t="s">
        <v>1591</v>
      </c>
      <c r="D53" s="35"/>
      <c r="E53" s="35"/>
      <c r="F53" s="35"/>
      <c r="G53" s="35"/>
      <c r="H53" s="35"/>
      <c r="I53" s="35"/>
      <c r="J53" s="35"/>
      <c r="K53" s="35"/>
      <c r="L53" s="35"/>
      <c r="M53" s="53"/>
      <c r="N53" s="1340"/>
      <c r="O53" s="51"/>
      <c r="P53" s="11" t="s">
        <v>1591</v>
      </c>
      <c r="Q53" s="35"/>
      <c r="R53" s="35"/>
      <c r="S53" s="35"/>
      <c r="T53" s="35"/>
      <c r="U53" s="35"/>
      <c r="V53" s="35"/>
      <c r="W53" s="35"/>
      <c r="X53" s="35"/>
      <c r="Y53" s="35"/>
      <c r="Z53" s="53"/>
    </row>
    <row r="54" spans="2:26">
      <c r="B54" s="616"/>
      <c r="C54" s="618" t="s">
        <v>1592</v>
      </c>
      <c r="D54" s="619"/>
      <c r="E54" s="619"/>
      <c r="F54" s="619"/>
      <c r="G54" s="619"/>
      <c r="H54" s="619"/>
      <c r="I54" s="619"/>
      <c r="J54" s="619"/>
      <c r="K54" s="619"/>
      <c r="L54" s="619"/>
      <c r="M54" s="620"/>
      <c r="N54" s="1340"/>
      <c r="O54" s="616"/>
      <c r="P54" s="618" t="s">
        <v>1592</v>
      </c>
      <c r="Q54" s="619"/>
      <c r="R54" s="619"/>
      <c r="S54" s="619"/>
      <c r="T54" s="619"/>
      <c r="U54" s="619"/>
      <c r="V54" s="619"/>
      <c r="W54" s="619"/>
      <c r="X54" s="619"/>
      <c r="Y54" s="619"/>
      <c r="Z54" s="620"/>
    </row>
    <row r="55" spans="2:26">
      <c r="B55" s="67" t="s">
        <v>63</v>
      </c>
      <c r="C55" s="21" t="s">
        <v>1177</v>
      </c>
      <c r="D55" s="38"/>
      <c r="E55" s="38"/>
      <c r="F55" s="38"/>
      <c r="G55" s="38"/>
      <c r="H55" s="38"/>
      <c r="I55" s="38"/>
      <c r="J55" s="38"/>
      <c r="K55" s="38"/>
      <c r="L55" s="38"/>
      <c r="M55" s="54"/>
      <c r="N55" s="1340"/>
      <c r="O55" s="67" t="s">
        <v>63</v>
      </c>
      <c r="P55" s="21" t="s">
        <v>1177</v>
      </c>
      <c r="Q55" s="38"/>
      <c r="R55" s="38"/>
      <c r="S55" s="38"/>
      <c r="T55" s="38"/>
      <c r="U55" s="38"/>
      <c r="V55" s="38"/>
      <c r="W55" s="38"/>
      <c r="X55" s="38"/>
      <c r="Y55" s="38"/>
      <c r="Z55" s="54"/>
    </row>
    <row r="56" spans="2:26">
      <c r="M56" s="1340"/>
      <c r="N56" s="1340"/>
    </row>
    <row r="58" spans="2:26" s="1340" customFormat="1"/>
    <row r="61" spans="2:26" s="1340" customFormat="1"/>
    <row r="81" s="1340" customFormat="1"/>
  </sheetData>
  <mergeCells count="19">
    <mergeCell ref="G41:H42"/>
    <mergeCell ref="E41:E42"/>
    <mergeCell ref="F41:F42"/>
    <mergeCell ref="I37:I38"/>
    <mergeCell ref="J37:M37"/>
    <mergeCell ref="J38:M38"/>
    <mergeCell ref="I40:I41"/>
    <mergeCell ref="O13:O20"/>
    <mergeCell ref="P14:P16"/>
    <mergeCell ref="P17:P19"/>
    <mergeCell ref="O22:O29"/>
    <mergeCell ref="P22:P25"/>
    <mergeCell ref="P26:P28"/>
    <mergeCell ref="B13:B20"/>
    <mergeCell ref="B22:B29"/>
    <mergeCell ref="C17:C19"/>
    <mergeCell ref="C26:C28"/>
    <mergeCell ref="C22:C25"/>
    <mergeCell ref="C14:C16"/>
  </mergeCells>
  <pageMargins left="0.70866141732283472" right="0.31496062992125984" top="0.39370078740157483" bottom="0.23622047244094491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5"/>
  <dimension ref="A1:AG122"/>
  <sheetViews>
    <sheetView showGridLines="0" workbookViewId="0">
      <selection activeCell="V20" sqref="V20"/>
    </sheetView>
  </sheetViews>
  <sheetFormatPr baseColWidth="10" defaultColWidth="11.44140625" defaultRowHeight="13.8"/>
  <cols>
    <col min="1" max="1" width="1" style="25" customWidth="1"/>
    <col min="2" max="2" width="1" style="29" customWidth="1"/>
    <col min="3" max="4" width="2.44140625" style="29" customWidth="1"/>
    <col min="5" max="17" width="6.5546875" style="29" customWidth="1"/>
    <col min="18" max="19" width="2.44140625" style="29" customWidth="1"/>
    <col min="20" max="31" width="6.5546875" style="29" customWidth="1"/>
    <col min="32" max="16384" width="11.44140625" style="29"/>
  </cols>
  <sheetData>
    <row r="1" spans="2:31">
      <c r="C1" s="198"/>
      <c r="D1" s="117" t="s">
        <v>669</v>
      </c>
      <c r="E1"/>
      <c r="G1" s="198"/>
      <c r="H1" s="198"/>
      <c r="I1" s="198"/>
      <c r="J1" s="198"/>
      <c r="K1" s="198"/>
      <c r="L1" s="198"/>
      <c r="M1" s="198"/>
      <c r="R1" s="198"/>
      <c r="S1" s="117" t="s">
        <v>669</v>
      </c>
      <c r="T1"/>
      <c r="V1" s="198"/>
      <c r="W1" s="198"/>
      <c r="X1" s="198"/>
      <c r="Y1" s="198"/>
      <c r="Z1" s="198"/>
      <c r="AA1" s="198"/>
      <c r="AB1" s="198"/>
    </row>
    <row r="2" spans="2:31">
      <c r="C2" s="198"/>
      <c r="D2" s="198"/>
      <c r="E2" s="198"/>
      <c r="G2" s="198"/>
      <c r="H2" s="198"/>
      <c r="I2" s="198"/>
      <c r="J2" s="198"/>
      <c r="K2" s="198"/>
      <c r="L2" s="198"/>
      <c r="M2" s="198"/>
      <c r="R2" s="198"/>
      <c r="S2" s="198" t="s">
        <v>1238</v>
      </c>
      <c r="T2" s="198"/>
      <c r="V2" s="198"/>
      <c r="W2" s="198"/>
      <c r="X2" s="198"/>
      <c r="Y2" s="198"/>
      <c r="Z2" s="198"/>
      <c r="AA2" s="198"/>
      <c r="AB2" s="198"/>
    </row>
    <row r="3" spans="2:31">
      <c r="C3" s="198"/>
      <c r="D3" s="198"/>
      <c r="E3" s="198"/>
      <c r="G3" s="198"/>
      <c r="H3" s="198"/>
      <c r="I3" s="198"/>
      <c r="J3" s="198"/>
      <c r="K3" s="198"/>
      <c r="L3" s="198"/>
      <c r="M3" s="198"/>
      <c r="R3" s="198"/>
      <c r="S3" s="198"/>
      <c r="T3" s="198"/>
      <c r="V3" s="198"/>
      <c r="W3" s="198"/>
      <c r="X3" s="198"/>
      <c r="Y3" s="198"/>
      <c r="Z3" s="198"/>
      <c r="AA3" s="198"/>
      <c r="AB3" s="198"/>
    </row>
    <row r="4" spans="2:31" ht="17.399999999999999">
      <c r="B4" s="142"/>
      <c r="C4"/>
      <c r="D4" s="972" t="s">
        <v>822</v>
      </c>
      <c r="E4" s="973"/>
      <c r="F4" s="973"/>
      <c r="G4" s="973"/>
      <c r="H4" s="973"/>
      <c r="I4" s="974"/>
      <c r="J4" s="974"/>
      <c r="K4" s="892"/>
      <c r="L4" s="892"/>
      <c r="M4" s="892"/>
      <c r="N4" s="1648"/>
      <c r="O4" s="1648"/>
      <c r="P4" s="1127" t="s">
        <v>27</v>
      </c>
      <c r="R4"/>
      <c r="S4" s="972" t="s">
        <v>822</v>
      </c>
      <c r="T4" s="973"/>
      <c r="U4" s="973"/>
      <c r="V4" s="973"/>
      <c r="W4" s="973"/>
      <c r="X4" s="974"/>
      <c r="Y4" s="974"/>
      <c r="Z4" s="892"/>
      <c r="AA4" s="892"/>
      <c r="AB4" s="892"/>
      <c r="AC4" s="1648">
        <f>Text!N1240</f>
        <v>156000</v>
      </c>
      <c r="AD4" s="1648"/>
      <c r="AE4" s="1127" t="s">
        <v>27</v>
      </c>
    </row>
    <row r="5" spans="2:31" ht="17.399999999999999">
      <c r="B5" s="142"/>
      <c r="C5"/>
      <c r="D5" s="984" t="s">
        <v>1240</v>
      </c>
      <c r="E5" s="879"/>
      <c r="F5" s="879"/>
      <c r="G5" s="879"/>
      <c r="H5" s="879"/>
      <c r="I5" s="801"/>
      <c r="J5" s="801"/>
      <c r="K5" s="882"/>
      <c r="L5" s="882"/>
      <c r="M5" s="882"/>
      <c r="N5" s="1647"/>
      <c r="O5" s="1647"/>
      <c r="P5" s="1128" t="s">
        <v>27</v>
      </c>
      <c r="R5"/>
      <c r="S5" s="984" t="s">
        <v>1240</v>
      </c>
      <c r="T5" s="879"/>
      <c r="U5" s="879"/>
      <c r="V5" s="879"/>
      <c r="W5" s="879"/>
      <c r="X5" s="801"/>
      <c r="Y5" s="801"/>
      <c r="Z5" s="882"/>
      <c r="AA5" s="882"/>
      <c r="AB5" s="882"/>
      <c r="AC5" s="1647">
        <f>Text!N1241</f>
        <v>60000</v>
      </c>
      <c r="AD5" s="1647"/>
      <c r="AE5" s="1128"/>
    </row>
    <row r="6" spans="2:31" ht="17.399999999999999">
      <c r="B6" s="971"/>
      <c r="C6"/>
      <c r="D6" s="976" t="s">
        <v>676</v>
      </c>
      <c r="E6" s="916"/>
      <c r="F6" s="916"/>
      <c r="G6" s="916"/>
      <c r="H6" s="916"/>
      <c r="I6" s="977"/>
      <c r="J6" s="977"/>
      <c r="K6" s="887"/>
      <c r="L6" s="887"/>
      <c r="M6" s="887"/>
      <c r="N6" s="1647"/>
      <c r="O6" s="1647"/>
      <c r="P6" s="981" t="s">
        <v>27</v>
      </c>
      <c r="R6"/>
      <c r="S6" s="976" t="s">
        <v>676</v>
      </c>
      <c r="T6" s="916"/>
      <c r="U6" s="916"/>
      <c r="V6" s="916"/>
      <c r="W6" s="916"/>
      <c r="X6" s="977"/>
      <c r="Y6" s="977"/>
      <c r="Z6" s="887"/>
      <c r="AA6" s="887"/>
      <c r="AB6" s="887"/>
      <c r="AC6" s="1647">
        <f>Text!N1242</f>
        <v>300000</v>
      </c>
      <c r="AD6" s="1647"/>
      <c r="AE6" s="981" t="s">
        <v>27</v>
      </c>
    </row>
    <row r="7" spans="2:31" ht="17.399999999999999">
      <c r="B7" s="971"/>
      <c r="C7"/>
      <c r="D7" s="976" t="s">
        <v>662</v>
      </c>
      <c r="E7" s="916"/>
      <c r="F7" s="916"/>
      <c r="G7" s="916"/>
      <c r="H7" s="916"/>
      <c r="I7" s="977"/>
      <c r="J7" s="977"/>
      <c r="K7" s="887"/>
      <c r="L7" s="887"/>
      <c r="M7" s="887"/>
      <c r="N7" s="1649"/>
      <c r="O7" s="1649"/>
      <c r="P7" s="981" t="s">
        <v>27</v>
      </c>
      <c r="R7"/>
      <c r="S7" s="976" t="s">
        <v>662</v>
      </c>
      <c r="T7" s="916"/>
      <c r="U7" s="916"/>
      <c r="V7" s="916"/>
      <c r="W7" s="916"/>
      <c r="X7" s="977"/>
      <c r="Y7" s="977"/>
      <c r="Z7" s="887"/>
      <c r="AA7" s="887"/>
      <c r="AB7" s="887"/>
      <c r="AC7" s="1649">
        <f>Text!N1243</f>
        <v>180000</v>
      </c>
      <c r="AD7" s="1649"/>
      <c r="AE7" s="981" t="s">
        <v>27</v>
      </c>
    </row>
    <row r="8" spans="2:31" ht="17.399999999999999">
      <c r="B8" s="971"/>
      <c r="C8"/>
      <c r="D8" s="979" t="s">
        <v>1173</v>
      </c>
      <c r="E8" s="922"/>
      <c r="F8" s="922"/>
      <c r="G8" s="922"/>
      <c r="H8" s="922"/>
      <c r="I8" s="933"/>
      <c r="J8" s="933"/>
      <c r="K8" s="890"/>
      <c r="L8" s="890"/>
      <c r="M8" s="890"/>
      <c r="N8" s="1640"/>
      <c r="O8" s="1640"/>
      <c r="P8" s="983" t="s">
        <v>1163</v>
      </c>
      <c r="R8"/>
      <c r="S8" s="979" t="s">
        <v>1173</v>
      </c>
      <c r="T8" s="922"/>
      <c r="U8" s="922"/>
      <c r="V8" s="922"/>
      <c r="W8" s="922"/>
      <c r="X8" s="933"/>
      <c r="Y8" s="933"/>
      <c r="Z8" s="890"/>
      <c r="AA8" s="890"/>
      <c r="AB8" s="890"/>
      <c r="AC8" s="1640">
        <f>Text!N1244</f>
        <v>3</v>
      </c>
      <c r="AD8" s="1640"/>
      <c r="AE8" s="983" t="s">
        <v>1163</v>
      </c>
    </row>
    <row r="9" spans="2:31" ht="17.399999999999999">
      <c r="B9" s="971"/>
      <c r="C9" s="1232"/>
      <c r="D9" s="979" t="s">
        <v>1425</v>
      </c>
      <c r="E9" s="922"/>
      <c r="F9" s="922"/>
      <c r="G9" s="922"/>
      <c r="H9" s="922"/>
      <c r="I9" s="933"/>
      <c r="J9" s="933"/>
      <c r="K9" s="890"/>
      <c r="L9" s="890"/>
      <c r="M9" s="890"/>
      <c r="N9" s="1640"/>
      <c r="O9" s="1640"/>
      <c r="P9" s="1251" t="s">
        <v>1169</v>
      </c>
      <c r="R9" s="1232"/>
      <c r="S9" s="979" t="s">
        <v>1425</v>
      </c>
      <c r="T9" s="922"/>
      <c r="U9" s="922"/>
      <c r="V9" s="922"/>
      <c r="W9" s="922"/>
      <c r="X9" s="933"/>
      <c r="Y9" s="933"/>
      <c r="Z9" s="890"/>
      <c r="AA9" s="890"/>
      <c r="AB9" s="890"/>
      <c r="AC9" s="1640">
        <f>Text!N1245</f>
        <v>1</v>
      </c>
      <c r="AD9" s="1640"/>
      <c r="AE9" s="1251" t="s">
        <v>1426</v>
      </c>
    </row>
    <row r="10" spans="2:31">
      <c r="B10" s="144"/>
      <c r="C10"/>
      <c r="D10" s="144"/>
      <c r="E10" s="198"/>
      <c r="F10" s="198"/>
      <c r="G10" s="198"/>
      <c r="H10" s="198"/>
      <c r="I10" s="1340"/>
      <c r="J10" s="1340"/>
      <c r="N10" s="1650"/>
      <c r="O10" s="1650"/>
      <c r="P10" s="144"/>
      <c r="R10"/>
      <c r="S10" s="144"/>
      <c r="T10" s="198"/>
      <c r="U10" s="198"/>
      <c r="V10" s="198"/>
      <c r="W10" s="198"/>
      <c r="X10"/>
      <c r="Y10"/>
      <c r="AC10" s="1650"/>
      <c r="AD10" s="1650"/>
      <c r="AE10" s="144"/>
    </row>
    <row r="11" spans="2:31" ht="17.399999999999999">
      <c r="B11" s="971"/>
      <c r="C11"/>
      <c r="D11" s="972" t="s">
        <v>670</v>
      </c>
      <c r="E11" s="973"/>
      <c r="F11" s="973"/>
      <c r="G11" s="973"/>
      <c r="H11" s="973"/>
      <c r="I11" s="973"/>
      <c r="J11" s="973"/>
      <c r="K11" s="892"/>
      <c r="L11" s="892"/>
      <c r="M11" s="892"/>
      <c r="N11" s="1651"/>
      <c r="O11" s="1651"/>
      <c r="P11" s="893" t="s">
        <v>65</v>
      </c>
      <c r="R11"/>
      <c r="S11" s="972" t="s">
        <v>670</v>
      </c>
      <c r="T11" s="973"/>
      <c r="U11" s="973"/>
      <c r="V11" s="973"/>
      <c r="W11" s="973"/>
      <c r="X11" s="973"/>
      <c r="Y11" s="973"/>
      <c r="Z11" s="892"/>
      <c r="AA11" s="892"/>
      <c r="AB11" s="892"/>
      <c r="AC11" s="1651">
        <f>Text!N1247</f>
        <v>10</v>
      </c>
      <c r="AD11" s="1651"/>
      <c r="AE11" s="893" t="s">
        <v>65</v>
      </c>
    </row>
    <row r="12" spans="2:31" ht="17.399999999999999">
      <c r="B12" s="971"/>
      <c r="C12"/>
      <c r="D12" s="976" t="s">
        <v>677</v>
      </c>
      <c r="E12" s="916"/>
      <c r="F12" s="916"/>
      <c r="G12" s="916"/>
      <c r="H12" s="916"/>
      <c r="I12" s="916"/>
      <c r="J12" s="916"/>
      <c r="K12" s="887"/>
      <c r="L12" s="887"/>
      <c r="M12" s="887"/>
      <c r="N12" s="1641"/>
      <c r="O12" s="1641"/>
      <c r="P12" s="888" t="s">
        <v>65</v>
      </c>
      <c r="R12"/>
      <c r="S12" s="976" t="s">
        <v>677</v>
      </c>
      <c r="T12" s="916"/>
      <c r="U12" s="916"/>
      <c r="V12" s="916"/>
      <c r="W12" s="916"/>
      <c r="X12" s="916"/>
      <c r="Y12" s="916"/>
      <c r="Z12" s="887"/>
      <c r="AA12" s="887"/>
      <c r="AB12" s="887"/>
      <c r="AC12" s="1641">
        <f>Text!N1248</f>
        <v>4</v>
      </c>
      <c r="AD12" s="1641"/>
      <c r="AE12" s="888" t="s">
        <v>65</v>
      </c>
    </row>
    <row r="13" spans="2:31" ht="17.399999999999999">
      <c r="B13" s="971"/>
      <c r="C13"/>
      <c r="D13" s="985" t="s">
        <v>820</v>
      </c>
      <c r="E13" s="922"/>
      <c r="F13" s="922"/>
      <c r="G13" s="922"/>
      <c r="H13" s="922"/>
      <c r="I13" s="933"/>
      <c r="J13" s="933"/>
      <c r="K13" s="890"/>
      <c r="L13" s="890"/>
      <c r="M13" s="890"/>
      <c r="N13" s="1642"/>
      <c r="O13" s="1642"/>
      <c r="P13" s="983" t="s">
        <v>65</v>
      </c>
      <c r="R13"/>
      <c r="S13" s="985" t="s">
        <v>820</v>
      </c>
      <c r="T13" s="922"/>
      <c r="U13" s="922"/>
      <c r="V13" s="922"/>
      <c r="W13" s="922"/>
      <c r="X13" s="933"/>
      <c r="Y13" s="933"/>
      <c r="Z13" s="890"/>
      <c r="AA13" s="890"/>
      <c r="AB13" s="890"/>
      <c r="AC13" s="1642">
        <f>AC11-AC12</f>
        <v>6</v>
      </c>
      <c r="AD13" s="1642"/>
      <c r="AE13" s="983" t="s">
        <v>65</v>
      </c>
    </row>
    <row r="14" spans="2:31" ht="17.399999999999999">
      <c r="B14" s="971"/>
      <c r="C14"/>
      <c r="D14" s="984" t="s">
        <v>672</v>
      </c>
      <c r="E14" s="879"/>
      <c r="F14" s="879"/>
      <c r="G14" s="879"/>
      <c r="H14" s="879"/>
      <c r="I14" s="801"/>
      <c r="J14" s="801"/>
      <c r="K14" s="882"/>
      <c r="L14" s="882"/>
      <c r="M14" s="1011"/>
      <c r="N14" s="882" t="s">
        <v>61</v>
      </c>
      <c r="O14" s="882"/>
      <c r="P14" s="889"/>
      <c r="R14"/>
      <c r="S14" s="984" t="s">
        <v>672</v>
      </c>
      <c r="T14" s="879"/>
      <c r="U14" s="879"/>
      <c r="V14" s="879"/>
      <c r="W14" s="879"/>
      <c r="X14" s="801"/>
      <c r="Y14" s="801"/>
      <c r="Z14" s="882"/>
      <c r="AA14" s="882"/>
      <c r="AB14" s="1011">
        <f>Text!N1250</f>
        <v>5000</v>
      </c>
      <c r="AC14" s="882" t="s">
        <v>61</v>
      </c>
      <c r="AD14" s="882"/>
      <c r="AE14" s="889"/>
    </row>
    <row r="15" spans="2:31" ht="17.399999999999999">
      <c r="B15" s="971"/>
      <c r="C15"/>
      <c r="D15" s="976" t="s">
        <v>675</v>
      </c>
      <c r="E15" s="916"/>
      <c r="F15" s="916"/>
      <c r="G15" s="916"/>
      <c r="H15" s="916"/>
      <c r="I15" s="977"/>
      <c r="J15" s="977"/>
      <c r="K15" s="887"/>
      <c r="L15" s="887"/>
      <c r="M15" s="1009"/>
      <c r="N15" s="887" t="s">
        <v>673</v>
      </c>
      <c r="O15" s="1006">
        <f>IF(M14=0,0,M15/M14)</f>
        <v>0</v>
      </c>
      <c r="P15" s="981" t="s">
        <v>674</v>
      </c>
      <c r="R15"/>
      <c r="S15" s="976" t="s">
        <v>675</v>
      </c>
      <c r="T15" s="916"/>
      <c r="U15" s="916"/>
      <c r="V15" s="916"/>
      <c r="W15" s="916"/>
      <c r="X15" s="977"/>
      <c r="Y15" s="977"/>
      <c r="Z15" s="887"/>
      <c r="AA15" s="887"/>
      <c r="AB15" s="1009">
        <f>Text!N1251</f>
        <v>2500</v>
      </c>
      <c r="AC15" s="887" t="s">
        <v>673</v>
      </c>
      <c r="AD15" s="1006">
        <f>IF(AB14=0,0,AB15/AB14)</f>
        <v>0.5</v>
      </c>
      <c r="AE15" s="981" t="s">
        <v>674</v>
      </c>
    </row>
    <row r="16" spans="2:31" ht="17.399999999999999">
      <c r="B16" s="971"/>
      <c r="C16"/>
      <c r="D16" s="976" t="s">
        <v>678</v>
      </c>
      <c r="E16" s="916"/>
      <c r="F16" s="916"/>
      <c r="G16" s="916"/>
      <c r="H16" s="916"/>
      <c r="I16" s="977"/>
      <c r="J16" s="977"/>
      <c r="K16" s="887"/>
      <c r="L16" s="887"/>
      <c r="M16" s="1010"/>
      <c r="N16" s="978" t="s">
        <v>61</v>
      </c>
      <c r="O16" s="887"/>
      <c r="P16" s="888"/>
      <c r="R16"/>
      <c r="S16" s="976" t="s">
        <v>678</v>
      </c>
      <c r="T16" s="916"/>
      <c r="U16" s="916"/>
      <c r="V16" s="916"/>
      <c r="W16" s="916"/>
      <c r="X16" s="977"/>
      <c r="Y16" s="977"/>
      <c r="Z16" s="887"/>
      <c r="AA16" s="887"/>
      <c r="AB16" s="1010">
        <f>Text!N1252</f>
        <v>250</v>
      </c>
      <c r="AC16" s="978" t="s">
        <v>61</v>
      </c>
      <c r="AD16" s="887"/>
      <c r="AE16" s="888"/>
    </row>
    <row r="17" spans="2:33" ht="17.399999999999999">
      <c r="B17" s="971"/>
      <c r="C17"/>
      <c r="D17" s="982" t="s">
        <v>679</v>
      </c>
      <c r="E17" s="890"/>
      <c r="F17" s="922"/>
      <c r="G17" s="890"/>
      <c r="H17" s="980"/>
      <c r="I17" s="933"/>
      <c r="J17" s="890"/>
      <c r="K17" s="890"/>
      <c r="L17" s="890"/>
      <c r="M17" s="1007"/>
      <c r="N17" s="890" t="s">
        <v>673</v>
      </c>
      <c r="O17" s="1005"/>
      <c r="P17" s="983" t="s">
        <v>674</v>
      </c>
      <c r="R17"/>
      <c r="S17" s="982" t="s">
        <v>679</v>
      </c>
      <c r="T17" s="890"/>
      <c r="U17" s="922"/>
      <c r="V17" s="890"/>
      <c r="W17" s="980"/>
      <c r="X17" s="933"/>
      <c r="Y17" s="890"/>
      <c r="Z17" s="890"/>
      <c r="AA17" s="890"/>
      <c r="AB17" s="1007">
        <f>(AB16*AC13+AB15)</f>
        <v>4000</v>
      </c>
      <c r="AC17" s="890" t="s">
        <v>673</v>
      </c>
      <c r="AD17" s="1005">
        <f>IF(AB14=0,0,AB17/AB14)</f>
        <v>0.8</v>
      </c>
      <c r="AE17" s="983" t="s">
        <v>674</v>
      </c>
    </row>
    <row r="18" spans="2:33">
      <c r="B18" s="144"/>
      <c r="C18"/>
      <c r="D18" s="144"/>
      <c r="E18" s="198"/>
      <c r="F18" s="198"/>
      <c r="G18" s="198"/>
      <c r="H18"/>
      <c r="I18"/>
      <c r="L18" s="885"/>
      <c r="M18" s="885"/>
      <c r="N18" s="885"/>
      <c r="O18" s="144"/>
      <c r="R18"/>
      <c r="S18" s="144"/>
      <c r="T18" s="198"/>
      <c r="U18" s="198"/>
      <c r="V18" s="198"/>
      <c r="W18"/>
      <c r="X18"/>
      <c r="AA18" s="885"/>
      <c r="AB18" s="885"/>
      <c r="AC18" s="885"/>
      <c r="AD18" s="144"/>
    </row>
    <row r="19" spans="2:33" ht="17.399999999999999">
      <c r="B19" s="971"/>
      <c r="C19"/>
      <c r="D19" s="994" t="s">
        <v>683</v>
      </c>
      <c r="E19" s="858"/>
      <c r="F19" s="859"/>
      <c r="G19" s="975" t="s">
        <v>682</v>
      </c>
      <c r="H19" s="892"/>
      <c r="I19" s="892"/>
      <c r="J19" s="892"/>
      <c r="K19" s="892"/>
      <c r="L19" s="987"/>
      <c r="M19" s="1013"/>
      <c r="N19" s="975" t="s">
        <v>353</v>
      </c>
      <c r="O19" s="892"/>
      <c r="P19" s="893"/>
      <c r="R19"/>
      <c r="S19" s="994" t="s">
        <v>683</v>
      </c>
      <c r="T19" s="858"/>
      <c r="U19" s="859"/>
      <c r="V19" s="975" t="s">
        <v>682</v>
      </c>
      <c r="W19" s="892"/>
      <c r="X19" s="892"/>
      <c r="Y19" s="892"/>
      <c r="Z19" s="892"/>
      <c r="AA19" s="987"/>
      <c r="AB19" s="1013">
        <f>Text!N1255</f>
        <v>15</v>
      </c>
      <c r="AC19" s="975" t="s">
        <v>353</v>
      </c>
      <c r="AD19" s="892"/>
      <c r="AE19" s="893"/>
    </row>
    <row r="20" spans="2:33" ht="17.399999999999999">
      <c r="B20" s="971"/>
      <c r="C20"/>
      <c r="D20" s="997"/>
      <c r="E20" s="865"/>
      <c r="F20" s="860"/>
      <c r="G20" s="998" t="s">
        <v>823</v>
      </c>
      <c r="H20" s="999"/>
      <c r="I20" s="933"/>
      <c r="J20" s="890"/>
      <c r="K20" s="890"/>
      <c r="L20" s="986"/>
      <c r="M20" s="1008"/>
      <c r="N20" s="980" t="s">
        <v>353</v>
      </c>
      <c r="O20" s="1000" t="s">
        <v>684</v>
      </c>
      <c r="P20" s="1012"/>
      <c r="R20"/>
      <c r="S20" s="997"/>
      <c r="T20" s="865"/>
      <c r="U20" s="860"/>
      <c r="V20" s="1129" t="str">
        <f>"für Restnutzung von "&amp;AD15*100&amp;"% bis "&amp;AD17*100&amp;"% von n"</f>
        <v>für Restnutzung von 50% bis 80% von n</v>
      </c>
      <c r="W20" s="999"/>
      <c r="X20" s="933"/>
      <c r="Y20" s="890"/>
      <c r="Z20" s="890"/>
      <c r="AA20" s="986"/>
      <c r="AB20" s="1008">
        <f>AB19*AE20</f>
        <v>18.149999999999999</v>
      </c>
      <c r="AC20" s="980" t="s">
        <v>353</v>
      </c>
      <c r="AD20" s="1000" t="s">
        <v>684</v>
      </c>
      <c r="AE20" s="1012">
        <f>Text!Q1256</f>
        <v>1.21</v>
      </c>
    </row>
    <row r="21" spans="2:33" ht="17.399999999999999">
      <c r="B21" s="971"/>
      <c r="C21"/>
      <c r="D21" s="995" t="s">
        <v>681</v>
      </c>
      <c r="E21" s="811"/>
      <c r="F21" s="866"/>
      <c r="G21" s="942" t="s">
        <v>655</v>
      </c>
      <c r="H21" s="882"/>
      <c r="I21" s="944"/>
      <c r="J21" s="945" t="s">
        <v>657</v>
      </c>
      <c r="K21" s="944"/>
      <c r="L21" s="946" t="s">
        <v>590</v>
      </c>
      <c r="M21" s="1015"/>
      <c r="N21" s="996" t="s">
        <v>824</v>
      </c>
      <c r="O21" s="882"/>
      <c r="P21" s="889"/>
      <c r="R21"/>
      <c r="S21" s="995" t="s">
        <v>681</v>
      </c>
      <c r="T21" s="811"/>
      <c r="U21" s="866"/>
      <c r="V21" s="942" t="s">
        <v>655</v>
      </c>
      <c r="W21" s="882"/>
      <c r="X21" s="944">
        <f>Text!J1257</f>
        <v>25</v>
      </c>
      <c r="Y21" s="1258" t="s">
        <v>1430</v>
      </c>
      <c r="Z21" s="944">
        <f>Text!L1257</f>
        <v>0.8</v>
      </c>
      <c r="AA21" s="946" t="s">
        <v>590</v>
      </c>
      <c r="AB21" s="1015">
        <f>X21*Z21</f>
        <v>20</v>
      </c>
      <c r="AC21" s="996" t="s">
        <v>824</v>
      </c>
      <c r="AD21" s="882"/>
      <c r="AE21" s="889"/>
      <c r="AG21" s="864"/>
    </row>
    <row r="22" spans="2:33" ht="17.399999999999999">
      <c r="B22" s="971"/>
      <c r="C22"/>
      <c r="D22" s="894"/>
      <c r="E22" s="992"/>
      <c r="F22" s="993"/>
      <c r="G22" s="988" t="s">
        <v>656</v>
      </c>
      <c r="H22" s="890"/>
      <c r="I22" s="1014"/>
      <c r="J22" s="989" t="s">
        <v>657</v>
      </c>
      <c r="K22" s="1014"/>
      <c r="L22" s="990" t="s">
        <v>590</v>
      </c>
      <c r="M22" s="1016"/>
      <c r="N22" s="991" t="s">
        <v>824</v>
      </c>
      <c r="O22" s="890"/>
      <c r="P22" s="891"/>
      <c r="R22"/>
      <c r="S22" s="894"/>
      <c r="T22" s="992"/>
      <c r="U22" s="993"/>
      <c r="V22" s="988" t="s">
        <v>656</v>
      </c>
      <c r="W22" s="890"/>
      <c r="X22" s="1014">
        <f>1%*X21</f>
        <v>0.25</v>
      </c>
      <c r="Y22" s="1259" t="s">
        <v>1430</v>
      </c>
      <c r="Z22" s="1014">
        <f>Text!L1258</f>
        <v>3</v>
      </c>
      <c r="AA22" s="990" t="s">
        <v>590</v>
      </c>
      <c r="AB22" s="1016">
        <f>X22*Z22</f>
        <v>0.75</v>
      </c>
      <c r="AC22" s="991" t="s">
        <v>824</v>
      </c>
      <c r="AD22" s="890"/>
      <c r="AE22" s="891"/>
      <c r="AG22" s="864"/>
    </row>
    <row r="23" spans="2:33">
      <c r="B23" s="144"/>
      <c r="C23"/>
      <c r="E23" s="811"/>
      <c r="F23" s="866"/>
      <c r="G23" s="820"/>
      <c r="I23" s="826"/>
      <c r="J23" s="868"/>
      <c r="K23" s="826"/>
      <c r="L23" s="864"/>
      <c r="M23" s="886"/>
      <c r="R23"/>
    </row>
    <row r="24" spans="2:33" ht="17.399999999999999">
      <c r="B24" s="971"/>
      <c r="C24" s="1232"/>
      <c r="D24" s="1252" t="s">
        <v>1427</v>
      </c>
      <c r="E24" s="1001"/>
      <c r="F24" s="1001"/>
      <c r="G24" s="1001"/>
      <c r="H24" s="1002"/>
      <c r="I24" s="1253"/>
      <c r="J24" s="1256" t="s">
        <v>1428</v>
      </c>
      <c r="K24" s="1253"/>
      <c r="L24" s="1257" t="s">
        <v>1429</v>
      </c>
      <c r="M24" s="1254"/>
      <c r="N24" s="1255" t="s">
        <v>824</v>
      </c>
      <c r="O24" s="906"/>
      <c r="P24" s="900"/>
      <c r="R24" s="1232"/>
      <c r="S24" s="1252" t="s">
        <v>1427</v>
      </c>
      <c r="T24" s="1001"/>
      <c r="U24" s="1001"/>
      <c r="V24" s="1001"/>
      <c r="W24" s="1002"/>
      <c r="X24" s="1253">
        <f>Text!M1304</f>
        <v>0.7</v>
      </c>
      <c r="Y24" s="1256" t="s">
        <v>1431</v>
      </c>
      <c r="Z24" s="1253">
        <f>Text!K1304</f>
        <v>14</v>
      </c>
      <c r="AA24" s="1257" t="s">
        <v>1429</v>
      </c>
      <c r="AB24" s="1254">
        <f>X24*Z24</f>
        <v>9.7999999999999989</v>
      </c>
      <c r="AC24" s="1255" t="s">
        <v>824</v>
      </c>
      <c r="AD24" s="906"/>
      <c r="AE24" s="900"/>
    </row>
    <row r="25" spans="2:33" ht="17.399999999999999">
      <c r="B25" s="971"/>
      <c r="C25"/>
      <c r="D25" s="1252" t="s">
        <v>1434</v>
      </c>
      <c r="E25" s="1001"/>
      <c r="F25" s="1001"/>
      <c r="G25" s="1001"/>
      <c r="H25" s="1002"/>
      <c r="I25" s="1002"/>
      <c r="J25" s="906"/>
      <c r="K25" s="906"/>
      <c r="L25" s="1003"/>
      <c r="M25" s="1018"/>
      <c r="N25" s="1004" t="s">
        <v>353</v>
      </c>
      <c r="O25" s="906"/>
      <c r="P25" s="900"/>
      <c r="R25"/>
      <c r="S25" s="1252" t="s">
        <v>1434</v>
      </c>
      <c r="T25" s="1001"/>
      <c r="U25" s="1001"/>
      <c r="V25" s="1001"/>
      <c r="W25" s="1002"/>
      <c r="X25" s="1002"/>
      <c r="Y25" s="906"/>
      <c r="Z25" s="906"/>
      <c r="AA25" s="1003"/>
      <c r="AB25" s="1017">
        <v>12</v>
      </c>
      <c r="AC25" s="1004" t="s">
        <v>353</v>
      </c>
      <c r="AD25" s="906"/>
      <c r="AE25" s="900"/>
    </row>
    <row r="26" spans="2:33">
      <c r="B26" s="198"/>
      <c r="C26"/>
      <c r="D26"/>
      <c r="E26"/>
      <c r="F26"/>
      <c r="G26"/>
      <c r="H26"/>
      <c r="I26"/>
      <c r="J26"/>
      <c r="M26"/>
      <c r="N26" s="1576"/>
      <c r="O26" s="1576"/>
      <c r="P26"/>
      <c r="Q26"/>
      <c r="R26"/>
      <c r="S26"/>
      <c r="T26"/>
      <c r="U26"/>
      <c r="V26"/>
      <c r="W26"/>
      <c r="X26"/>
      <c r="Y26"/>
      <c r="AB26"/>
      <c r="AC26" s="1576"/>
      <c r="AD26" s="1576"/>
      <c r="AE26"/>
    </row>
    <row r="27" spans="2:33" ht="17.399999999999999">
      <c r="B27" s="971"/>
      <c r="C27" s="6" t="s">
        <v>1578</v>
      </c>
      <c r="D27" s="1340"/>
      <c r="E27" s="1340"/>
      <c r="F27" s="1340"/>
      <c r="G27" s="1340"/>
      <c r="H27" s="1340"/>
      <c r="I27" s="1340"/>
      <c r="J27" s="1340"/>
      <c r="M27" s="1340"/>
      <c r="N27" s="1576"/>
      <c r="O27" s="1576"/>
      <c r="P27" s="1340"/>
      <c r="Q27"/>
      <c r="R27" s="104" t="s">
        <v>1174</v>
      </c>
      <c r="S27"/>
      <c r="T27"/>
      <c r="U27"/>
      <c r="V27"/>
      <c r="W27"/>
      <c r="X27"/>
      <c r="Y27"/>
      <c r="AB27"/>
      <c r="AC27" s="1576"/>
      <c r="AD27" s="1576"/>
      <c r="AE27"/>
    </row>
    <row r="28" spans="2:33" ht="17.399999999999999">
      <c r="B28" s="971"/>
      <c r="C28" s="1340"/>
      <c r="D28" s="1426" t="s">
        <v>95</v>
      </c>
      <c r="E28" s="1426"/>
      <c r="F28" s="1426"/>
      <c r="G28" s="1426"/>
      <c r="H28" s="1426"/>
      <c r="I28" s="1426"/>
      <c r="J28" s="1426"/>
      <c r="K28" s="1427"/>
      <c r="L28" s="1427"/>
      <c r="M28" s="1428"/>
      <c r="N28" s="1643"/>
      <c r="O28" s="1643"/>
      <c r="P28" s="1429" t="s">
        <v>354</v>
      </c>
      <c r="Q28"/>
      <c r="R28"/>
      <c r="S28" t="s">
        <v>95</v>
      </c>
      <c r="T28"/>
      <c r="U28"/>
      <c r="V28"/>
      <c r="W28"/>
      <c r="X28"/>
      <c r="Y28"/>
      <c r="AB28" s="119"/>
      <c r="AC28" s="1550">
        <f>(AC4-AC5)/AC13</f>
        <v>16000</v>
      </c>
      <c r="AD28" s="1550"/>
      <c r="AE28" s="84" t="s">
        <v>354</v>
      </c>
    </row>
    <row r="29" spans="2:33" ht="17.399999999999999">
      <c r="B29" s="971"/>
      <c r="C29" s="1340"/>
      <c r="D29" s="977" t="s">
        <v>843</v>
      </c>
      <c r="E29" s="977"/>
      <c r="F29" s="977"/>
      <c r="G29" s="977"/>
      <c r="H29" s="977"/>
      <c r="I29" s="977"/>
      <c r="J29" s="977"/>
      <c r="K29" s="887"/>
      <c r="L29" s="887"/>
      <c r="M29" s="1430"/>
      <c r="N29" s="1644"/>
      <c r="O29" s="1644"/>
      <c r="P29" s="1431" t="s">
        <v>354</v>
      </c>
      <c r="Q29" s="1232"/>
      <c r="R29" s="1232"/>
      <c r="S29" s="95" t="s">
        <v>843</v>
      </c>
      <c r="T29" s="95"/>
      <c r="U29" s="95"/>
      <c r="V29" s="95"/>
      <c r="W29" s="95"/>
      <c r="X29" s="95"/>
      <c r="Y29" s="95"/>
      <c r="Z29" s="14"/>
      <c r="AA29" s="14"/>
      <c r="AB29" s="1250"/>
      <c r="AC29" s="1577">
        <f>(AC4+AC5)/2*AC8%</f>
        <v>3240</v>
      </c>
      <c r="AD29" s="1577"/>
      <c r="AE29" s="1248" t="s">
        <v>354</v>
      </c>
    </row>
    <row r="30" spans="2:33" ht="17.399999999999999">
      <c r="B30" s="971"/>
      <c r="C30" s="1340"/>
      <c r="D30" s="933" t="s">
        <v>1425</v>
      </c>
      <c r="E30" s="933"/>
      <c r="F30" s="933"/>
      <c r="G30" s="933"/>
      <c r="H30" s="933"/>
      <c r="I30" s="933"/>
      <c r="J30" s="933"/>
      <c r="K30" s="890"/>
      <c r="L30" s="890"/>
      <c r="M30" s="1440"/>
      <c r="N30" s="1645"/>
      <c r="O30" s="1645"/>
      <c r="P30" s="1441" t="s">
        <v>354</v>
      </c>
      <c r="Q30"/>
      <c r="R30"/>
      <c r="S30" s="801" t="s">
        <v>1425</v>
      </c>
      <c r="T30" s="801"/>
      <c r="U30" s="801"/>
      <c r="V30" s="801"/>
      <c r="W30" s="801"/>
      <c r="X30" s="801"/>
      <c r="Y30" s="801"/>
      <c r="Z30" s="882"/>
      <c r="AA30" s="882"/>
      <c r="AB30" s="842"/>
      <c r="AC30" s="1557">
        <f>AC4*AC9%</f>
        <v>1560</v>
      </c>
      <c r="AD30" s="1557"/>
      <c r="AE30" s="843" t="s">
        <v>354</v>
      </c>
    </row>
    <row r="31" spans="2:33" ht="17.399999999999999">
      <c r="B31" s="971"/>
      <c r="C31" s="1340"/>
      <c r="D31" s="1426" t="s">
        <v>1174</v>
      </c>
      <c r="E31" s="1426"/>
      <c r="F31" s="1426"/>
      <c r="G31" s="1426" t="s">
        <v>638</v>
      </c>
      <c r="H31" s="1426"/>
      <c r="I31" s="1426"/>
      <c r="J31" s="1426"/>
      <c r="K31" s="1427"/>
      <c r="L31" s="1427"/>
      <c r="M31" s="1428"/>
      <c r="N31" s="1643"/>
      <c r="O31" s="1643"/>
      <c r="P31" s="1429" t="s">
        <v>354</v>
      </c>
      <c r="Q31"/>
      <c r="R31"/>
      <c r="S31" t="s">
        <v>1175</v>
      </c>
      <c r="T31"/>
      <c r="U31"/>
      <c r="V31"/>
      <c r="W31"/>
      <c r="X31"/>
      <c r="Y31"/>
      <c r="AB31" s="119"/>
      <c r="AC31" s="1550">
        <f>SUM(AC28:AD30)</f>
        <v>20800</v>
      </c>
      <c r="AD31" s="1550"/>
      <c r="AE31" s="84" t="s">
        <v>354</v>
      </c>
    </row>
    <row r="32" spans="2:33" ht="18" thickBot="1">
      <c r="B32" s="971"/>
      <c r="C32" s="1432"/>
      <c r="D32" s="1407"/>
      <c r="E32" s="1407"/>
      <c r="F32" s="1407"/>
      <c r="G32" s="1407" t="s">
        <v>1576</v>
      </c>
      <c r="H32" s="1407"/>
      <c r="I32" s="1407"/>
      <c r="J32" s="1407"/>
      <c r="K32" s="1408"/>
      <c r="L32" s="1408"/>
      <c r="M32" s="1438"/>
      <c r="N32" s="1646"/>
      <c r="O32" s="1646"/>
      <c r="P32" s="1439" t="s">
        <v>353</v>
      </c>
      <c r="Q32"/>
      <c r="R32" s="830"/>
      <c r="S32" s="830" t="s">
        <v>667</v>
      </c>
      <c r="T32" s="830"/>
      <c r="U32" s="830"/>
      <c r="V32" s="830"/>
      <c r="W32" s="830"/>
      <c r="X32" s="830"/>
      <c r="Y32" s="830"/>
      <c r="Z32" s="860"/>
      <c r="AA32" s="860"/>
      <c r="AB32" s="844"/>
      <c r="AC32" s="1553">
        <f>AC31/AB16</f>
        <v>83.2</v>
      </c>
      <c r="AD32" s="1553"/>
      <c r="AE32" s="845" t="s">
        <v>353</v>
      </c>
    </row>
    <row r="33" spans="2:31" ht="18" thickTop="1">
      <c r="B33" s="971"/>
      <c r="C33" s="6" t="s">
        <v>1579</v>
      </c>
      <c r="D33" s="1340"/>
      <c r="E33" s="1340"/>
      <c r="F33" s="1340"/>
      <c r="G33" s="1340"/>
      <c r="H33" s="1340"/>
      <c r="I33" s="1340"/>
      <c r="J33" s="1340"/>
      <c r="M33" s="1339"/>
      <c r="N33" s="1554"/>
      <c r="O33" s="1554"/>
      <c r="P33" s="1340"/>
      <c r="Q33"/>
      <c r="R33" s="6" t="s">
        <v>1176</v>
      </c>
      <c r="S33"/>
      <c r="T33"/>
      <c r="U33"/>
      <c r="V33"/>
      <c r="W33"/>
      <c r="X33"/>
      <c r="Y33"/>
      <c r="AB33" s="119"/>
      <c r="AC33" s="1554"/>
      <c r="AD33" s="1554"/>
      <c r="AE33"/>
    </row>
    <row r="34" spans="2:31" ht="17.399999999999999">
      <c r="B34" s="971"/>
      <c r="C34" s="1340"/>
      <c r="D34" s="1426" t="s">
        <v>93</v>
      </c>
      <c r="E34" s="1426"/>
      <c r="F34" s="1426"/>
      <c r="G34" s="1426"/>
      <c r="H34" s="1426"/>
      <c r="I34" s="1426"/>
      <c r="J34" s="1426"/>
      <c r="K34" s="1427"/>
      <c r="L34" s="1427"/>
      <c r="M34" s="1428"/>
      <c r="N34" s="1652"/>
      <c r="O34" s="1652"/>
      <c r="P34" s="1429" t="s">
        <v>353</v>
      </c>
      <c r="Q34"/>
      <c r="R34"/>
      <c r="S34" t="s">
        <v>93</v>
      </c>
      <c r="T34"/>
      <c r="U34"/>
      <c r="V34"/>
      <c r="W34"/>
      <c r="X34"/>
      <c r="Y34"/>
      <c r="AB34" s="119"/>
      <c r="AC34" s="1555">
        <f>AB20</f>
        <v>18.149999999999999</v>
      </c>
      <c r="AD34" s="1555"/>
      <c r="AE34" s="84" t="s">
        <v>353</v>
      </c>
    </row>
    <row r="35" spans="2:31" ht="17.399999999999999">
      <c r="B35" s="971"/>
      <c r="C35" s="1340"/>
      <c r="D35" s="933" t="s">
        <v>685</v>
      </c>
      <c r="E35" s="933"/>
      <c r="F35" s="933"/>
      <c r="G35" s="933"/>
      <c r="H35" s="933"/>
      <c r="I35" s="933"/>
      <c r="J35" s="933"/>
      <c r="K35" s="890"/>
      <c r="L35" s="890"/>
      <c r="M35" s="1440"/>
      <c r="N35" s="1653"/>
      <c r="O35" s="1653"/>
      <c r="P35" s="1441" t="s">
        <v>353</v>
      </c>
      <c r="Q35"/>
      <c r="R35"/>
      <c r="S35" s="801" t="s">
        <v>685</v>
      </c>
      <c r="T35" s="801"/>
      <c r="U35" s="801"/>
      <c r="V35" s="801"/>
      <c r="W35" s="801"/>
      <c r="X35" s="801"/>
      <c r="Y35" s="801"/>
      <c r="Z35" s="882"/>
      <c r="AA35" s="882"/>
      <c r="AB35" s="842"/>
      <c r="AC35" s="1556">
        <f>ROUND(AB21+AB22,2)</f>
        <v>20.75</v>
      </c>
      <c r="AD35" s="1556"/>
      <c r="AE35" s="843" t="s">
        <v>353</v>
      </c>
    </row>
    <row r="36" spans="2:31" ht="17.399999999999999">
      <c r="B36" s="971"/>
      <c r="C36" s="1340"/>
      <c r="D36" s="1426" t="s">
        <v>1176</v>
      </c>
      <c r="E36" s="1426"/>
      <c r="F36" s="1426"/>
      <c r="G36" s="1426" t="s">
        <v>1576</v>
      </c>
      <c r="H36" s="1426"/>
      <c r="I36" s="1426"/>
      <c r="J36" s="1426"/>
      <c r="K36" s="1427"/>
      <c r="L36" s="1427"/>
      <c r="M36" s="1428"/>
      <c r="N36" s="1652"/>
      <c r="O36" s="1652"/>
      <c r="P36" s="1429" t="s">
        <v>353</v>
      </c>
      <c r="Q36"/>
      <c r="R36"/>
      <c r="S36" t="s">
        <v>665</v>
      </c>
      <c r="T36"/>
      <c r="U36"/>
      <c r="V36"/>
      <c r="W36"/>
      <c r="X36"/>
      <c r="Y36"/>
      <c r="AB36" s="119"/>
      <c r="AC36" s="1555">
        <f>SUM(AC34:AD35)</f>
        <v>38.9</v>
      </c>
      <c r="AD36" s="1555"/>
      <c r="AE36" s="84" t="s">
        <v>353</v>
      </c>
    </row>
    <row r="37" spans="2:31" ht="18" thickBot="1">
      <c r="B37" s="971"/>
      <c r="C37" s="1432"/>
      <c r="D37" s="1407"/>
      <c r="E37" s="1407"/>
      <c r="F37" s="1407"/>
      <c r="G37" s="1407" t="s">
        <v>638</v>
      </c>
      <c r="H37" s="1407"/>
      <c r="I37" s="1407"/>
      <c r="J37" s="1407"/>
      <c r="K37" s="1408"/>
      <c r="L37" s="1408"/>
      <c r="M37" s="1438"/>
      <c r="N37" s="1654"/>
      <c r="O37" s="1654"/>
      <c r="P37" s="1439" t="s">
        <v>354</v>
      </c>
      <c r="Q37"/>
      <c r="R37" s="830"/>
      <c r="S37" s="830" t="s">
        <v>666</v>
      </c>
      <c r="T37" s="830"/>
      <c r="U37" s="830"/>
      <c r="V37" s="830"/>
      <c r="W37" s="830"/>
      <c r="X37" s="830"/>
      <c r="Y37" s="830"/>
      <c r="Z37" s="860"/>
      <c r="AA37" s="860"/>
      <c r="AB37" s="844"/>
      <c r="AC37" s="1558">
        <f>AC36*AB16</f>
        <v>9725</v>
      </c>
      <c r="AD37" s="1558"/>
      <c r="AE37" s="845" t="s">
        <v>354</v>
      </c>
    </row>
    <row r="38" spans="2:31" ht="18" thickTop="1">
      <c r="B38" s="971"/>
      <c r="C38" s="6" t="s">
        <v>1435</v>
      </c>
      <c r="D38" s="1340"/>
      <c r="E38" s="1340"/>
      <c r="F38" s="1340"/>
      <c r="G38" s="1340"/>
      <c r="H38" s="1340"/>
      <c r="I38" s="1340"/>
      <c r="J38" s="1340"/>
      <c r="N38" s="1554"/>
      <c r="O38" s="1554"/>
      <c r="Q38"/>
      <c r="R38" s="6" t="s">
        <v>1435</v>
      </c>
      <c r="S38"/>
      <c r="T38"/>
      <c r="U38"/>
      <c r="V38"/>
      <c r="W38"/>
      <c r="X38"/>
      <c r="Y38"/>
      <c r="AC38" s="1554"/>
      <c r="AD38" s="1554"/>
    </row>
    <row r="39" spans="2:31" ht="17.399999999999999">
      <c r="B39" s="971"/>
      <c r="C39" s="104"/>
      <c r="D39" s="1426" t="s">
        <v>637</v>
      </c>
      <c r="E39" s="1426"/>
      <c r="F39" s="1426"/>
      <c r="G39" s="1426" t="s">
        <v>638</v>
      </c>
      <c r="H39" s="1426"/>
      <c r="I39" s="1426"/>
      <c r="J39" s="1426"/>
      <c r="K39" s="1427"/>
      <c r="L39" s="1427"/>
      <c r="M39" s="1427"/>
      <c r="N39" s="1656"/>
      <c r="O39" s="1656"/>
      <c r="P39" s="1429" t="s">
        <v>354</v>
      </c>
      <c r="Q39"/>
      <c r="R39" s="104"/>
      <c r="S39" t="s">
        <v>1171</v>
      </c>
      <c r="T39"/>
      <c r="U39"/>
      <c r="V39"/>
      <c r="W39"/>
      <c r="X39"/>
      <c r="Y39"/>
      <c r="AC39" s="1568">
        <f>AC31+AD37</f>
        <v>20800</v>
      </c>
      <c r="AD39" s="1568"/>
      <c r="AE39" s="84" t="s">
        <v>354</v>
      </c>
    </row>
    <row r="40" spans="2:31" ht="18" thickBot="1">
      <c r="B40" s="971"/>
      <c r="C40" s="1436"/>
      <c r="D40" s="1407"/>
      <c r="E40" s="1407"/>
      <c r="F40" s="1407"/>
      <c r="G40" s="1407" t="s">
        <v>1576</v>
      </c>
      <c r="H40" s="1407"/>
      <c r="I40" s="1407"/>
      <c r="J40" s="1407"/>
      <c r="K40" s="1408"/>
      <c r="L40" s="1408"/>
      <c r="M40" s="1438"/>
      <c r="N40" s="1657"/>
      <c r="O40" s="1657"/>
      <c r="P40" s="1439" t="s">
        <v>353</v>
      </c>
      <c r="Q40"/>
      <c r="R40" s="846"/>
      <c r="S40" s="830" t="s">
        <v>668</v>
      </c>
      <c r="T40" s="830"/>
      <c r="U40" s="830"/>
      <c r="V40" s="830"/>
      <c r="W40" s="830"/>
      <c r="X40" s="830"/>
      <c r="Y40" s="830"/>
      <c r="Z40" s="860"/>
      <c r="AA40" s="860"/>
      <c r="AB40" s="844"/>
      <c r="AC40" s="1584">
        <f>AC36+AC32</f>
        <v>122.1</v>
      </c>
      <c r="AD40" s="1584"/>
      <c r="AE40" s="845" t="s">
        <v>353</v>
      </c>
    </row>
    <row r="41" spans="2:31" ht="14.4" thickTop="1">
      <c r="B41" s="25"/>
      <c r="C41" s="1444"/>
      <c r="D41" s="1442"/>
      <c r="E41" s="1442"/>
      <c r="F41" s="1442"/>
      <c r="G41" s="1442"/>
      <c r="H41" s="1442"/>
      <c r="I41" s="1442"/>
      <c r="J41" s="1442"/>
      <c r="K41" s="1442"/>
      <c r="L41" s="1442"/>
      <c r="M41" s="1442"/>
      <c r="N41" s="1442"/>
      <c r="O41" s="1442"/>
      <c r="P41" s="1442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1248"/>
    </row>
    <row r="42" spans="2:31" ht="17.399999999999999">
      <c r="B42" s="971"/>
      <c r="C42" s="1443" t="s">
        <v>1433</v>
      </c>
      <c r="D42" s="1171"/>
      <c r="E42" s="830"/>
      <c r="F42" s="830"/>
      <c r="G42" s="830"/>
      <c r="H42" s="830"/>
      <c r="I42" s="830"/>
      <c r="J42" s="830"/>
      <c r="K42" s="860"/>
      <c r="L42" s="860"/>
      <c r="M42" s="844"/>
      <c r="N42" s="1584"/>
      <c r="O42" s="1584"/>
      <c r="P42" s="845" t="s">
        <v>353</v>
      </c>
      <c r="Q42"/>
      <c r="R42" s="1261" t="s">
        <v>1433</v>
      </c>
      <c r="S42" s="98"/>
      <c r="T42" s="1232"/>
      <c r="U42" s="1232"/>
      <c r="V42" s="1232"/>
      <c r="W42" s="1232"/>
      <c r="X42" s="1232"/>
      <c r="Y42" s="1232"/>
      <c r="AB42" s="1231"/>
      <c r="AC42" s="1639">
        <f>$AB$24</f>
        <v>9.7999999999999989</v>
      </c>
      <c r="AD42" s="1639"/>
      <c r="AE42" s="84" t="s">
        <v>353</v>
      </c>
    </row>
    <row r="43" spans="2:31" ht="18" thickBot="1">
      <c r="B43" s="971"/>
      <c r="C43" s="1437" t="s">
        <v>1577</v>
      </c>
      <c r="D43" s="1432"/>
      <c r="E43" s="1432"/>
      <c r="F43" s="1432"/>
      <c r="G43" s="1432"/>
      <c r="H43" s="1432"/>
      <c r="I43" s="1432"/>
      <c r="J43" s="1432"/>
      <c r="K43" s="1433"/>
      <c r="L43" s="1433"/>
      <c r="M43" s="1434"/>
      <c r="N43" s="1655"/>
      <c r="O43" s="1655"/>
      <c r="P43" s="1435" t="s">
        <v>353</v>
      </c>
      <c r="Q43"/>
      <c r="R43" s="1260" t="s">
        <v>1577</v>
      </c>
      <c r="S43" s="830"/>
      <c r="T43" s="830"/>
      <c r="U43" s="830"/>
      <c r="V43" s="830"/>
      <c r="W43" s="830"/>
      <c r="X43" s="830"/>
      <c r="Y43" s="830"/>
      <c r="Z43" s="860"/>
      <c r="AA43" s="860"/>
      <c r="AB43" s="844"/>
      <c r="AC43" s="1584">
        <f>AC40+AC42</f>
        <v>131.9</v>
      </c>
      <c r="AD43" s="1584"/>
      <c r="AE43" s="845" t="s">
        <v>353</v>
      </c>
    </row>
    <row r="44" spans="2:31" ht="14.4" thickTop="1">
      <c r="B44" s="25"/>
      <c r="C44" s="1442"/>
      <c r="D44" s="1442"/>
      <c r="E44" s="1442"/>
      <c r="F44" s="1442"/>
      <c r="G44" s="1442"/>
      <c r="H44" s="1442"/>
      <c r="I44" s="1442"/>
      <c r="J44" s="1442"/>
      <c r="K44" s="1442"/>
      <c r="L44" s="1442"/>
      <c r="M44" s="1442"/>
      <c r="N44" s="1442"/>
      <c r="O44" s="1442"/>
      <c r="P44" s="1442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1248"/>
    </row>
    <row r="45" spans="2:31" ht="17.399999999999999">
      <c r="B45" s="971"/>
      <c r="C45" s="1443" t="s">
        <v>1432</v>
      </c>
      <c r="D45" s="1171"/>
      <c r="E45" s="830"/>
      <c r="F45" s="830"/>
      <c r="G45" s="830"/>
      <c r="H45" s="830"/>
      <c r="I45" s="830"/>
      <c r="J45" s="830"/>
      <c r="K45" s="860"/>
      <c r="L45" s="860"/>
      <c r="M45" s="844"/>
      <c r="N45" s="1584"/>
      <c r="O45" s="1584"/>
      <c r="P45" s="845" t="s">
        <v>353</v>
      </c>
      <c r="Q45"/>
      <c r="R45" s="1261" t="s">
        <v>1432</v>
      </c>
      <c r="S45" s="98"/>
      <c r="T45" s="1232"/>
      <c r="U45" s="1232"/>
      <c r="V45" s="1232"/>
      <c r="W45" s="1232"/>
      <c r="X45" s="1232"/>
      <c r="Y45" s="1232"/>
      <c r="AB45" s="1231"/>
      <c r="AC45" s="1639">
        <f>$AB$25</f>
        <v>12</v>
      </c>
      <c r="AD45" s="1639"/>
      <c r="AE45" s="84" t="s">
        <v>353</v>
      </c>
    </row>
    <row r="46" spans="2:31" ht="18" thickBot="1">
      <c r="B46" s="971"/>
      <c r="C46" s="1437" t="s">
        <v>1436</v>
      </c>
      <c r="D46" s="1432"/>
      <c r="E46" s="1432"/>
      <c r="F46" s="1432"/>
      <c r="G46" s="1432"/>
      <c r="H46" s="1432"/>
      <c r="I46" s="1432"/>
      <c r="J46" s="1432"/>
      <c r="K46" s="1433"/>
      <c r="L46" s="1433"/>
      <c r="M46" s="1434"/>
      <c r="N46" s="1655"/>
      <c r="O46" s="1655"/>
      <c r="P46" s="1435" t="s">
        <v>353</v>
      </c>
      <c r="Q46"/>
      <c r="R46" s="1260" t="s">
        <v>1436</v>
      </c>
      <c r="S46" s="830"/>
      <c r="T46" s="830"/>
      <c r="U46" s="830"/>
      <c r="V46" s="830"/>
      <c r="W46" s="830"/>
      <c r="X46" s="830"/>
      <c r="Y46" s="830"/>
      <c r="Z46" s="860"/>
      <c r="AA46" s="860"/>
      <c r="AB46" s="844"/>
      <c r="AC46" s="1584">
        <f>AC43+AC45</f>
        <v>143.9</v>
      </c>
      <c r="AD46" s="1584"/>
      <c r="AE46" s="845" t="s">
        <v>353</v>
      </c>
    </row>
    <row r="47" spans="2:31" ht="14.4" thickTop="1">
      <c r="B47" s="198"/>
      <c r="Q47"/>
    </row>
    <row r="48" spans="2:31">
      <c r="B48" s="198"/>
      <c r="Q48"/>
    </row>
    <row r="49" spans="2:22">
      <c r="B49" s="198"/>
      <c r="E49" s="91" t="s">
        <v>1027</v>
      </c>
      <c r="F49" s="458"/>
      <c r="G49" s="35"/>
      <c r="H49" s="35"/>
      <c r="I49" s="35"/>
      <c r="J49" s="35"/>
      <c r="K49" s="35"/>
      <c r="L49" s="35"/>
      <c r="M49" s="35"/>
      <c r="N49" s="35"/>
      <c r="O49" s="1181" t="s">
        <v>1315</v>
      </c>
      <c r="P49" s="35"/>
      <c r="Q49" s="35"/>
      <c r="R49" s="33"/>
      <c r="S49" s="33"/>
      <c r="T49" s="33"/>
      <c r="U49" s="33"/>
      <c r="V49" s="33"/>
    </row>
    <row r="50" spans="2:22">
      <c r="B50" s="198"/>
      <c r="E50" s="33"/>
      <c r="F50" s="644"/>
      <c r="G50" s="1034"/>
      <c r="H50" s="1034"/>
      <c r="I50" s="1034"/>
      <c r="J50" s="1034"/>
      <c r="K50" s="1034"/>
      <c r="L50" s="1034"/>
      <c r="M50" s="1034"/>
      <c r="N50" s="644"/>
      <c r="O50" s="644"/>
      <c r="P50" s="644"/>
      <c r="Q50" s="644"/>
      <c r="R50" s="644"/>
      <c r="S50" s="644"/>
      <c r="T50" s="644"/>
      <c r="U50" s="644"/>
      <c r="V50" s="644"/>
    </row>
    <row r="51" spans="2:22">
      <c r="B51" s="198"/>
      <c r="E51" s="663" t="s">
        <v>165</v>
      </c>
      <c r="F51" s="1054"/>
      <c r="G51" s="1055"/>
      <c r="H51" s="1055"/>
      <c r="I51" s="1055"/>
      <c r="J51" s="1055"/>
      <c r="K51" s="1055"/>
      <c r="L51" s="1055"/>
      <c r="M51" s="1055"/>
      <c r="N51" s="1055"/>
      <c r="O51" s="1056"/>
      <c r="P51" s="33"/>
      <c r="Q51" s="33"/>
      <c r="R51" s="33"/>
      <c r="S51" s="33"/>
      <c r="T51" s="33"/>
      <c r="U51" s="33"/>
      <c r="V51" s="33"/>
    </row>
    <row r="52" spans="2:22">
      <c r="B52" s="198"/>
      <c r="E52" s="646" t="s">
        <v>1014</v>
      </c>
      <c r="F52" s="1057" t="s">
        <v>1015</v>
      </c>
      <c r="G52" s="1058"/>
      <c r="H52" s="1058"/>
      <c r="I52" s="1058"/>
      <c r="J52" s="1059"/>
      <c r="K52" s="1059"/>
      <c r="L52" s="1058"/>
      <c r="M52" s="1058"/>
      <c r="N52" s="1058"/>
      <c r="O52" s="1060"/>
      <c r="P52" s="33"/>
      <c r="R52" s="33"/>
      <c r="S52" s="1214" t="s">
        <v>611</v>
      </c>
      <c r="T52" s="1216">
        <v>0.5</v>
      </c>
      <c r="U52" s="33"/>
      <c r="V52" s="33"/>
    </row>
    <row r="53" spans="2:22">
      <c r="B53" s="198"/>
      <c r="E53" s="652" t="s">
        <v>1016</v>
      </c>
      <c r="F53" s="1061">
        <v>0.1</v>
      </c>
      <c r="G53" s="199">
        <v>0.2</v>
      </c>
      <c r="H53" s="199">
        <v>0.3</v>
      </c>
      <c r="I53" s="199">
        <v>0.4</v>
      </c>
      <c r="J53" s="199">
        <v>0.5</v>
      </c>
      <c r="K53" s="199">
        <v>0.6</v>
      </c>
      <c r="L53" s="199">
        <v>0.7</v>
      </c>
      <c r="M53" s="199">
        <v>0.8</v>
      </c>
      <c r="N53" s="199">
        <v>0.9</v>
      </c>
      <c r="O53" s="1062">
        <v>1</v>
      </c>
      <c r="P53" s="33"/>
      <c r="Q53" s="33"/>
      <c r="R53" s="33"/>
      <c r="S53" s="33"/>
      <c r="T53" s="33"/>
      <c r="U53" s="33"/>
      <c r="V53" s="33"/>
    </row>
    <row r="54" spans="2:22">
      <c r="B54" s="198"/>
      <c r="E54" s="1215">
        <v>0</v>
      </c>
      <c r="F54" s="1217">
        <f t="shared" ref="F54:O54" si="0">IF($E54&gt;=F$53,0,(1-($E54^$T$52*$E54)-(1-(F$53^$T$52*F$53)))/(F$53-$E54))</f>
        <v>0.31622776601683777</v>
      </c>
      <c r="G54" s="1218">
        <f t="shared" si="0"/>
        <v>0.44721359549995787</v>
      </c>
      <c r="H54" s="1218">
        <f t="shared" si="0"/>
        <v>0.54772255750516585</v>
      </c>
      <c r="I54" s="1218">
        <f t="shared" si="0"/>
        <v>0.6324555320336761</v>
      </c>
      <c r="J54" s="1219">
        <f t="shared" si="0"/>
        <v>0.70710678118654746</v>
      </c>
      <c r="K54" s="1219">
        <f t="shared" si="0"/>
        <v>0.7745966692414834</v>
      </c>
      <c r="L54" s="1218">
        <f t="shared" si="0"/>
        <v>0.83666002653407545</v>
      </c>
      <c r="M54" s="1218">
        <f t="shared" si="0"/>
        <v>0.89442719099991586</v>
      </c>
      <c r="N54" s="1218">
        <f t="shared" si="0"/>
        <v>0.94868329805051377</v>
      </c>
      <c r="O54" s="1220">
        <f t="shared" si="0"/>
        <v>1</v>
      </c>
      <c r="P54" s="33"/>
      <c r="Q54" s="33"/>
      <c r="R54" s="33"/>
      <c r="S54" s="33"/>
      <c r="T54" s="33"/>
      <c r="U54" s="33"/>
      <c r="V54" s="33"/>
    </row>
    <row r="55" spans="2:22">
      <c r="B55" s="198"/>
      <c r="E55" s="1063">
        <v>0.1</v>
      </c>
      <c r="F55" s="1221"/>
      <c r="G55" s="1222">
        <f t="shared" ref="G55:O55" si="1">IF($E55&gt;=G$53,0,(1-($E55^$T$52*$E55)-(1-(G$53^$T$52*G$53)))/(G$53-$E55))</f>
        <v>0.57819942498307797</v>
      </c>
      <c r="H55" s="1222">
        <f t="shared" si="1"/>
        <v>0.66346995324932989</v>
      </c>
      <c r="I55" s="1222">
        <f t="shared" si="1"/>
        <v>0.73786478737262207</v>
      </c>
      <c r="J55" s="1223">
        <f t="shared" si="1"/>
        <v>0.80482653497897483</v>
      </c>
      <c r="K55" s="1223">
        <f t="shared" si="1"/>
        <v>0.86627044988641244</v>
      </c>
      <c r="L55" s="1222">
        <f t="shared" si="1"/>
        <v>0.92339873662028171</v>
      </c>
      <c r="M55" s="1222">
        <f t="shared" si="1"/>
        <v>0.97702710885464128</v>
      </c>
      <c r="N55" s="1222">
        <f t="shared" si="1"/>
        <v>1.0277402395547233</v>
      </c>
      <c r="O55" s="1224">
        <f t="shared" si="1"/>
        <v>1.0759746926647957</v>
      </c>
      <c r="P55" s="33"/>
      <c r="Q55" s="33"/>
      <c r="R55" s="33"/>
      <c r="S55" s="33"/>
      <c r="T55" s="33"/>
      <c r="U55" s="33"/>
      <c r="V55" s="33"/>
    </row>
    <row r="56" spans="2:22">
      <c r="B56" s="198"/>
      <c r="E56" s="1063">
        <v>0.2</v>
      </c>
      <c r="F56" s="1221"/>
      <c r="G56" s="1225"/>
      <c r="H56" s="1222">
        <f t="shared" ref="H56:O56" si="2">IF($E56&gt;=H$53,0,(1-($E56^$T$52*$E56)-(1-(H$53^$T$52*H$53)))/(H$53-$E56))</f>
        <v>0.74874048151558192</v>
      </c>
      <c r="I56" s="1222">
        <f t="shared" si="2"/>
        <v>0.81769746856739434</v>
      </c>
      <c r="J56" s="1223">
        <f t="shared" si="2"/>
        <v>0.88036890497760723</v>
      </c>
      <c r="K56" s="1223">
        <f t="shared" si="2"/>
        <v>0.93828820611224617</v>
      </c>
      <c r="L56" s="1222">
        <f t="shared" si="2"/>
        <v>0.99243859894772257</v>
      </c>
      <c r="M56" s="1222">
        <f t="shared" si="2"/>
        <v>1.0434983894999017</v>
      </c>
      <c r="N56" s="1222">
        <f t="shared" si="2"/>
        <v>1.0919603559221014</v>
      </c>
      <c r="O56" s="1224">
        <f t="shared" si="2"/>
        <v>1.1381966011250104</v>
      </c>
      <c r="P56" s="33"/>
      <c r="Q56" s="33"/>
      <c r="R56" s="33"/>
      <c r="S56" s="33"/>
      <c r="T56" s="33"/>
      <c r="U56" s="33"/>
      <c r="V56" s="33"/>
    </row>
    <row r="57" spans="2:22">
      <c r="B57" s="198"/>
      <c r="E57" s="1063">
        <v>0.3</v>
      </c>
      <c r="F57" s="1221"/>
      <c r="G57" s="1225"/>
      <c r="H57" s="1225"/>
      <c r="I57" s="1222">
        <f t="shared" ref="I57:O57" si="3">IF($E57&gt;=I$53,0,(1-($E57^$T$52*$E57)-(1-(I$53^$T$52*I$53)))/(I$53-$E57))</f>
        <v>0.88665445561920653</v>
      </c>
      <c r="J57" s="1223">
        <f t="shared" si="3"/>
        <v>0.94618311670861988</v>
      </c>
      <c r="K57" s="1223">
        <f t="shared" si="3"/>
        <v>1.001470780977801</v>
      </c>
      <c r="L57" s="1222">
        <f t="shared" si="3"/>
        <v>1.0533631283057576</v>
      </c>
      <c r="M57" s="1222">
        <f t="shared" si="3"/>
        <v>1.1024499710967659</v>
      </c>
      <c r="N57" s="1222">
        <f t="shared" si="3"/>
        <v>1.1491636683231876</v>
      </c>
      <c r="O57" s="1224">
        <f t="shared" si="3"/>
        <v>1.1938331896406433</v>
      </c>
      <c r="P57" s="33"/>
      <c r="Q57" s="33"/>
      <c r="R57" s="33"/>
      <c r="S57" s="33"/>
      <c r="T57" s="33"/>
      <c r="U57" s="33"/>
      <c r="V57" s="33"/>
    </row>
    <row r="58" spans="2:22">
      <c r="B58" s="198"/>
      <c r="E58" s="1063">
        <v>0.4</v>
      </c>
      <c r="F58" s="1221"/>
      <c r="G58" s="1225"/>
      <c r="H58" s="1225"/>
      <c r="I58" s="1225"/>
      <c r="J58" s="1223">
        <f t="shared" ref="J58:O58" si="4">IF($E58&gt;=J$53,0,(1-($E58^$T$52*$E58)-(1-(J$53^$T$52*J$53)))/(J$53-$E58))</f>
        <v>1.0057117777980331</v>
      </c>
      <c r="K58" s="1223">
        <f t="shared" si="4"/>
        <v>1.058878943657098</v>
      </c>
      <c r="L58" s="1222">
        <f t="shared" si="4"/>
        <v>1.1089326858679414</v>
      </c>
      <c r="M58" s="1222">
        <f t="shared" si="4"/>
        <v>1.1563988499661555</v>
      </c>
      <c r="N58" s="1222">
        <f t="shared" si="4"/>
        <v>1.201665510863984</v>
      </c>
      <c r="O58" s="1224">
        <f t="shared" si="4"/>
        <v>1.2450296453108827</v>
      </c>
      <c r="P58" s="33"/>
      <c r="Q58" s="33"/>
      <c r="R58" s="33"/>
      <c r="S58" s="33"/>
      <c r="T58" s="33"/>
      <c r="U58" s="33"/>
      <c r="V58" s="33"/>
    </row>
    <row r="59" spans="2:22">
      <c r="B59" s="198"/>
      <c r="E59" s="1063">
        <v>0.5</v>
      </c>
      <c r="F59" s="1221"/>
      <c r="G59" s="1225"/>
      <c r="H59" s="1225"/>
      <c r="I59" s="1225"/>
      <c r="J59" s="1225"/>
      <c r="K59" s="1223">
        <f>IF($E59&gt;=K$53,0,(1-($E59^$T$52*$E59)-(1-(K$53^$T$52*K$53)))/(K$53-$E59))</f>
        <v>1.1120461095161629</v>
      </c>
      <c r="L59" s="1222">
        <f>IF($E59&gt;=L$53,0,(1-($E59^$T$52*$E59)-(1-(L$53^$T$52*L$53)))/(L$53-$E59))</f>
        <v>1.1605431399028956</v>
      </c>
      <c r="M59" s="1222">
        <f>IF($E59&gt;=M$53,0,(1-($E59^$T$52*$E59)-(1-(M$53^$T$52*M$53)))/(M$53-$E59))</f>
        <v>1.2066278740221965</v>
      </c>
      <c r="N59" s="1222">
        <f>IF($E59&gt;=N$53,0,(1-($E59^$T$52*$E59)-(1-(N$53^$T$52*N$53)))/(N$53-$E59))</f>
        <v>1.2506539441304716</v>
      </c>
      <c r="O59" s="1224">
        <f>IF($E59&gt;=O$53,0,(1-($E59^$T$52*$E59)-(1-(O$53^$T$52*O$53)))/(O$53-$E59))</f>
        <v>1.2928932188134525</v>
      </c>
      <c r="P59" s="33"/>
      <c r="Q59" s="33"/>
      <c r="R59" s="33"/>
      <c r="S59" s="33"/>
      <c r="T59" s="33"/>
      <c r="U59" s="33"/>
      <c r="V59" s="33"/>
    </row>
    <row r="60" spans="2:22">
      <c r="B60" s="198"/>
      <c r="E60" s="1063">
        <v>0.6</v>
      </c>
      <c r="F60" s="1221"/>
      <c r="G60" s="1225"/>
      <c r="H60" s="1225"/>
      <c r="I60" s="1225"/>
      <c r="J60" s="1225"/>
      <c r="K60" s="1225"/>
      <c r="L60" s="1222">
        <f>IF($E60&gt;=L$53,0,(1-($E60^$T$52*$E60)-(1-(L$53^$T$52*L$53)))/(L$53-$E60))</f>
        <v>1.2090401702896283</v>
      </c>
      <c r="M60" s="1222">
        <f>IF($E60&gt;=M$53,0,(1-($E60^$T$52*$E60)-(1-(M$53^$T$52*M$53)))/(M$53-$E60))</f>
        <v>1.2539187562752132</v>
      </c>
      <c r="N60" s="1222">
        <f>IF($E60&gt;=N$53,0,(1-($E60^$T$52*$E60)-(1-(N$53^$T$52*N$53)))/(N$53-$E60))</f>
        <v>1.2968565556685745</v>
      </c>
      <c r="O60" s="1224">
        <f>IF($E60&gt;=O$53,0,(1-($E60^$T$52*$E60)-(1-(O$53^$T$52*O$53)))/(O$53-$E60))</f>
        <v>1.3381049961377749</v>
      </c>
      <c r="P60" s="33"/>
      <c r="Q60" s="33"/>
      <c r="R60" s="33"/>
      <c r="S60" s="33"/>
      <c r="T60" s="33"/>
      <c r="U60" s="33"/>
      <c r="V60" s="33"/>
    </row>
    <row r="61" spans="2:22">
      <c r="B61" s="198"/>
      <c r="E61" s="1063">
        <v>0.7</v>
      </c>
      <c r="F61" s="1221"/>
      <c r="G61" s="1225"/>
      <c r="H61" s="1225"/>
      <c r="I61" s="1225"/>
      <c r="J61" s="1225"/>
      <c r="K61" s="1225"/>
      <c r="L61" s="1225"/>
      <c r="M61" s="1222">
        <f>IF($E61&gt;=M$53,0,(1-($E61^$T$52*$E61)-(1-(M$53^$T$52*M$53)))/(M$53-$E61))</f>
        <v>1.2987973422607979</v>
      </c>
      <c r="N61" s="1222">
        <f>IF($E61&gt;=N$53,0,(1-($E61^$T$52*$E61)-(1-(N$53^$T$52*N$53)))/(N$53-$E61))</f>
        <v>1.3407647483580476</v>
      </c>
      <c r="O61" s="1224">
        <f>IF($E61&gt;=O$53,0,(1-($E61^$T$52*$E61)-(1-(O$53^$T$52*O$53)))/(O$53-$E61))</f>
        <v>1.3811266047538238</v>
      </c>
      <c r="P61" s="33"/>
      <c r="Q61" s="33"/>
      <c r="R61" s="33"/>
      <c r="S61" s="33"/>
      <c r="T61" s="33"/>
      <c r="U61" s="33"/>
      <c r="V61" s="33"/>
    </row>
    <row r="62" spans="2:22">
      <c r="B62" s="198"/>
      <c r="E62" s="1063">
        <v>0.8</v>
      </c>
      <c r="F62" s="1221"/>
      <c r="G62" s="1225"/>
      <c r="H62" s="1225"/>
      <c r="I62" s="1225"/>
      <c r="J62" s="1225"/>
      <c r="K62" s="1225"/>
      <c r="L62" s="1225"/>
      <c r="M62" s="1225"/>
      <c r="N62" s="1222">
        <f>IF($E62&gt;=N$53,0,(1-($E62^$T$52*$E62)-(1-(N$53^$T$52*N$53)))/(N$53-$E62))</f>
        <v>1.3827321544552975</v>
      </c>
      <c r="O62" s="1224">
        <f>IF($E62&gt;=O$53,0,(1-($E62^$T$52*$E62)-(1-(O$53^$T$52*O$53)))/(O$53-$E62))</f>
        <v>1.4222912360003368</v>
      </c>
      <c r="P62" s="33"/>
      <c r="Q62" s="33"/>
      <c r="R62" s="33"/>
      <c r="S62" s="33"/>
      <c r="T62" s="33"/>
      <c r="U62" s="33"/>
      <c r="V62" s="33"/>
    </row>
    <row r="63" spans="2:22">
      <c r="B63" s="198"/>
      <c r="E63" s="1064">
        <v>0.9</v>
      </c>
      <c r="F63" s="1226"/>
      <c r="G63" s="1227"/>
      <c r="H63" s="1227"/>
      <c r="I63" s="1227"/>
      <c r="J63" s="1228"/>
      <c r="K63" s="1228"/>
      <c r="L63" s="1227"/>
      <c r="M63" s="1227"/>
      <c r="N63" s="1227"/>
      <c r="O63" s="1229">
        <f>IF($E63&gt;=O$53,0,(1-($E63^$T$52*$E63)-(1-(O$53^$T$52*O$53)))/(O$53-$E63))</f>
        <v>1.4618503175453759</v>
      </c>
      <c r="P63" s="33"/>
      <c r="Q63" s="33"/>
      <c r="R63" s="33"/>
      <c r="S63" s="33"/>
      <c r="T63" s="33"/>
      <c r="U63" s="33"/>
      <c r="V63" s="33"/>
    </row>
    <row r="64" spans="2:22">
      <c r="B64" s="198"/>
      <c r="E64" s="644"/>
      <c r="F64" s="644"/>
      <c r="G64" s="1034"/>
      <c r="H64" s="1034"/>
      <c r="I64" s="1034"/>
      <c r="J64" s="1034"/>
      <c r="K64" s="1034"/>
      <c r="L64" s="1034"/>
      <c r="M64" s="1034"/>
      <c r="N64" s="644"/>
      <c r="O64" s="644"/>
      <c r="P64" s="644"/>
      <c r="Q64" s="644"/>
      <c r="R64" s="644"/>
      <c r="S64" s="644"/>
      <c r="T64" s="644"/>
      <c r="U64" s="644"/>
      <c r="V64" s="644"/>
    </row>
    <row r="65" spans="2:22">
      <c r="B65" s="198"/>
      <c r="E65" s="71" t="s">
        <v>1018</v>
      </c>
      <c r="F65" s="659"/>
      <c r="G65" s="660"/>
      <c r="H65" s="659"/>
      <c r="I65" s="659"/>
      <c r="J65" s="660"/>
      <c r="K65" s="660"/>
      <c r="L65" s="661"/>
      <c r="M65" s="661"/>
      <c r="N65" s="661"/>
      <c r="O65" s="662"/>
      <c r="P65" s="644"/>
      <c r="Q65" s="644"/>
      <c r="R65" s="644"/>
      <c r="S65" s="644"/>
      <c r="T65" s="644"/>
      <c r="U65" s="644"/>
      <c r="V65" s="644"/>
    </row>
    <row r="66" spans="2:22">
      <c r="B66" s="198"/>
      <c r="E66" s="646" t="s">
        <v>1014</v>
      </c>
      <c r="F66" s="647" t="s">
        <v>1015</v>
      </c>
      <c r="G66" s="648"/>
      <c r="H66" s="648"/>
      <c r="I66" s="648"/>
      <c r="J66" s="649"/>
      <c r="K66" s="649"/>
      <c r="L66" s="650"/>
      <c r="M66" s="650"/>
      <c r="N66" s="650"/>
      <c r="O66" s="651"/>
      <c r="P66" s="1340"/>
      <c r="Q66" s="33"/>
      <c r="S66" s="1214" t="s">
        <v>611</v>
      </c>
      <c r="T66" s="1191">
        <v>0.35</v>
      </c>
      <c r="U66" s="644"/>
      <c r="V66" s="644"/>
    </row>
    <row r="67" spans="2:22">
      <c r="B67" s="198"/>
      <c r="E67" s="652" t="s">
        <v>1016</v>
      </c>
      <c r="F67" s="1192">
        <v>0.1</v>
      </c>
      <c r="G67" s="1193">
        <v>0.2</v>
      </c>
      <c r="H67" s="1193">
        <v>0.3</v>
      </c>
      <c r="I67" s="1193">
        <v>0.4</v>
      </c>
      <c r="J67" s="1193">
        <v>0.5</v>
      </c>
      <c r="K67" s="1193">
        <v>0.6</v>
      </c>
      <c r="L67" s="1193">
        <v>0.7</v>
      </c>
      <c r="M67" s="1193">
        <v>0.8</v>
      </c>
      <c r="N67" s="1193">
        <v>0.9</v>
      </c>
      <c r="O67" s="1194">
        <v>1</v>
      </c>
      <c r="P67" s="1340"/>
      <c r="Q67" s="1340"/>
      <c r="R67" s="644"/>
      <c r="S67" s="644"/>
      <c r="T67" s="644"/>
      <c r="U67" s="644"/>
      <c r="V67" s="644"/>
    </row>
    <row r="68" spans="2:22">
      <c r="B68" s="198"/>
      <c r="E68" s="1195">
        <v>0</v>
      </c>
      <c r="F68" s="1196">
        <f t="shared" ref="F68:O77" si="5">IF($E68&gt;=F$67,0,(1-($E68^$T$66*$E68)-(1-(F$67^$T$66*F$67)))/(F$67-$E68))</f>
        <v>0.44668359215096265</v>
      </c>
      <c r="G68" s="1197">
        <f t="shared" si="5"/>
        <v>0.56932531942515296</v>
      </c>
      <c r="H68" s="1197">
        <f t="shared" si="5"/>
        <v>0.65613384324384172</v>
      </c>
      <c r="I68" s="1197">
        <f t="shared" si="5"/>
        <v>0.72563963627526229</v>
      </c>
      <c r="J68" s="1198">
        <f t="shared" si="5"/>
        <v>0.78458409789675088</v>
      </c>
      <c r="K68" s="1198">
        <f t="shared" si="5"/>
        <v>0.83628236285026913</v>
      </c>
      <c r="L68" s="1199">
        <f t="shared" si="5"/>
        <v>0.88264144060340211</v>
      </c>
      <c r="M68" s="1199">
        <f t="shared" si="5"/>
        <v>0.92487171001871959</v>
      </c>
      <c r="N68" s="1199">
        <f t="shared" si="5"/>
        <v>0.96379546465283339</v>
      </c>
      <c r="O68" s="1200">
        <f t="shared" si="5"/>
        <v>1</v>
      </c>
      <c r="P68" s="1340"/>
      <c r="Q68" s="1340"/>
      <c r="R68" s="644"/>
      <c r="S68" s="644"/>
      <c r="T68" s="644"/>
      <c r="U68" s="644"/>
      <c r="V68" s="644"/>
    </row>
    <row r="69" spans="2:22">
      <c r="B69" s="198"/>
      <c r="E69" s="1201">
        <v>0.1</v>
      </c>
      <c r="F69" s="1202">
        <f t="shared" si="5"/>
        <v>0</v>
      </c>
      <c r="G69" s="1203">
        <f t="shared" si="5"/>
        <v>0.69196704669934328</v>
      </c>
      <c r="H69" s="1203">
        <f t="shared" si="5"/>
        <v>0.76085896879028125</v>
      </c>
      <c r="I69" s="1203">
        <f t="shared" si="5"/>
        <v>0.8186249843166955</v>
      </c>
      <c r="J69" s="1204">
        <f t="shared" si="5"/>
        <v>0.86905922433319793</v>
      </c>
      <c r="K69" s="1204">
        <f t="shared" si="5"/>
        <v>0.91420211699013043</v>
      </c>
      <c r="L69" s="1205">
        <f t="shared" si="5"/>
        <v>0.95530108201214203</v>
      </c>
      <c r="M69" s="1205">
        <f t="shared" si="5"/>
        <v>0.993184298285542</v>
      </c>
      <c r="N69" s="1205">
        <f t="shared" si="5"/>
        <v>1.0284344487155672</v>
      </c>
      <c r="O69" s="1206">
        <f t="shared" si="5"/>
        <v>1.0614796008721152</v>
      </c>
      <c r="P69" s="1340"/>
      <c r="Q69" s="1340"/>
      <c r="R69" s="33"/>
      <c r="S69" s="33"/>
      <c r="T69" s="644"/>
      <c r="U69" s="644"/>
      <c r="V69" s="644"/>
    </row>
    <row r="70" spans="2:22">
      <c r="B70" s="198"/>
      <c r="E70" s="1201">
        <v>0.2</v>
      </c>
      <c r="F70" s="1202">
        <f t="shared" si="5"/>
        <v>0</v>
      </c>
      <c r="G70" s="1207">
        <f t="shared" si="5"/>
        <v>0</v>
      </c>
      <c r="H70" s="1203">
        <f t="shared" si="5"/>
        <v>0.82975089088121923</v>
      </c>
      <c r="I70" s="1203">
        <f t="shared" si="5"/>
        <v>0.88195395312537173</v>
      </c>
      <c r="J70" s="1204">
        <f t="shared" si="5"/>
        <v>0.92808995021114948</v>
      </c>
      <c r="K70" s="1204">
        <f t="shared" si="5"/>
        <v>0.96976088456282727</v>
      </c>
      <c r="L70" s="1205">
        <f t="shared" si="5"/>
        <v>1.0079678890747019</v>
      </c>
      <c r="M70" s="1205">
        <f t="shared" si="5"/>
        <v>1.0433871735499085</v>
      </c>
      <c r="N70" s="1205">
        <f t="shared" si="5"/>
        <v>1.0765012204321707</v>
      </c>
      <c r="O70" s="1206">
        <f t="shared" si="5"/>
        <v>1.1076686701437117</v>
      </c>
      <c r="P70" s="1340"/>
      <c r="Q70" s="1340"/>
      <c r="R70" s="33"/>
      <c r="S70" s="33"/>
      <c r="T70" s="644"/>
      <c r="U70" s="644"/>
      <c r="V70" s="644"/>
    </row>
    <row r="71" spans="2:22">
      <c r="B71" s="198"/>
      <c r="E71" s="1201">
        <v>0.3</v>
      </c>
      <c r="F71" s="1202">
        <f t="shared" si="5"/>
        <v>0</v>
      </c>
      <c r="G71" s="1207">
        <f t="shared" si="5"/>
        <v>0</v>
      </c>
      <c r="H71" s="1207">
        <f t="shared" si="5"/>
        <v>0</v>
      </c>
      <c r="I71" s="1203">
        <f t="shared" si="5"/>
        <v>0.93415701536952411</v>
      </c>
      <c r="J71" s="1204">
        <f t="shared" si="5"/>
        <v>0.97725947987611472</v>
      </c>
      <c r="K71" s="1204">
        <f t="shared" si="5"/>
        <v>1.0164308824566968</v>
      </c>
      <c r="L71" s="1205">
        <f t="shared" si="5"/>
        <v>1.0525221386230725</v>
      </c>
      <c r="M71" s="1205">
        <f t="shared" si="5"/>
        <v>1.0861144300836465</v>
      </c>
      <c r="N71" s="1205">
        <f t="shared" si="5"/>
        <v>1.1176262753573292</v>
      </c>
      <c r="O71" s="1206">
        <f t="shared" si="5"/>
        <v>1.1473712100383537</v>
      </c>
      <c r="P71" s="1340"/>
      <c r="Q71" s="1340"/>
      <c r="R71" s="33"/>
      <c r="S71" s="33"/>
      <c r="T71" s="644"/>
      <c r="U71" s="644"/>
      <c r="V71" s="644"/>
    </row>
    <row r="72" spans="2:22">
      <c r="B72" s="198"/>
      <c r="E72" s="1201">
        <v>0.4</v>
      </c>
      <c r="F72" s="1202">
        <f t="shared" si="5"/>
        <v>0</v>
      </c>
      <c r="G72" s="1207">
        <f t="shared" si="5"/>
        <v>0</v>
      </c>
      <c r="H72" s="1207">
        <f t="shared" si="5"/>
        <v>0</v>
      </c>
      <c r="I72" s="1207">
        <f t="shared" si="5"/>
        <v>0</v>
      </c>
      <c r="J72" s="1204">
        <f t="shared" si="5"/>
        <v>1.0203619443827052</v>
      </c>
      <c r="K72" s="1204">
        <f t="shared" si="5"/>
        <v>1.057567816000283</v>
      </c>
      <c r="L72" s="1205">
        <f t="shared" si="5"/>
        <v>1.0919771797075886</v>
      </c>
      <c r="M72" s="1205">
        <f t="shared" si="5"/>
        <v>1.124103783762177</v>
      </c>
      <c r="N72" s="1205">
        <f t="shared" si="5"/>
        <v>1.1543201273548902</v>
      </c>
      <c r="O72" s="1206">
        <f t="shared" si="5"/>
        <v>1.1829069091498252</v>
      </c>
      <c r="P72" s="1340"/>
      <c r="Q72" s="1340"/>
      <c r="R72" s="33"/>
      <c r="S72" s="33"/>
      <c r="T72" s="644"/>
      <c r="U72" s="644"/>
      <c r="V72" s="644"/>
    </row>
    <row r="73" spans="2:22">
      <c r="B73" s="198"/>
      <c r="E73" s="1201">
        <v>0.5</v>
      </c>
      <c r="F73" s="1202">
        <f t="shared" si="5"/>
        <v>0</v>
      </c>
      <c r="G73" s="1207">
        <f t="shared" si="5"/>
        <v>0</v>
      </c>
      <c r="H73" s="1207">
        <f t="shared" si="5"/>
        <v>0</v>
      </c>
      <c r="I73" s="1207">
        <f t="shared" si="5"/>
        <v>0</v>
      </c>
      <c r="J73" s="1204">
        <f t="shared" si="5"/>
        <v>0</v>
      </c>
      <c r="K73" s="1204">
        <f t="shared" si="5"/>
        <v>1.0947736876178606</v>
      </c>
      <c r="L73" s="1205">
        <f t="shared" si="5"/>
        <v>1.1277847973700303</v>
      </c>
      <c r="M73" s="1205">
        <f t="shared" si="5"/>
        <v>1.1586843968886675</v>
      </c>
      <c r="N73" s="1205">
        <f t="shared" si="5"/>
        <v>1.1878096730979364</v>
      </c>
      <c r="O73" s="1206">
        <f t="shared" si="5"/>
        <v>1.2154159021032491</v>
      </c>
      <c r="P73" s="1340"/>
      <c r="Q73" s="1340"/>
      <c r="R73" s="33"/>
      <c r="S73" s="33"/>
      <c r="T73" s="644"/>
      <c r="U73" s="644"/>
      <c r="V73" s="644"/>
    </row>
    <row r="74" spans="2:22">
      <c r="B74" s="198"/>
      <c r="E74" s="1201">
        <v>0.6</v>
      </c>
      <c r="F74" s="1202">
        <f t="shared" si="5"/>
        <v>0</v>
      </c>
      <c r="G74" s="1207">
        <f t="shared" si="5"/>
        <v>0</v>
      </c>
      <c r="H74" s="1207">
        <f t="shared" si="5"/>
        <v>0</v>
      </c>
      <c r="I74" s="1207">
        <f t="shared" si="5"/>
        <v>0</v>
      </c>
      <c r="J74" s="1204">
        <f t="shared" si="5"/>
        <v>0</v>
      </c>
      <c r="K74" s="1207">
        <f t="shared" si="5"/>
        <v>0</v>
      </c>
      <c r="L74" s="1205">
        <f t="shared" si="5"/>
        <v>1.1607959071221998</v>
      </c>
      <c r="M74" s="1205">
        <f t="shared" si="5"/>
        <v>1.190639751524071</v>
      </c>
      <c r="N74" s="1205">
        <f t="shared" si="5"/>
        <v>1.2188216682579618</v>
      </c>
      <c r="O74" s="1206">
        <f t="shared" si="5"/>
        <v>1.2455764557245963</v>
      </c>
      <c r="P74" s="1340"/>
      <c r="Q74" s="1340"/>
      <c r="R74" s="33"/>
      <c r="S74" s="33"/>
      <c r="T74" s="644"/>
      <c r="U74" s="644"/>
      <c r="V74" s="644"/>
    </row>
    <row r="75" spans="2:22">
      <c r="B75" s="198"/>
      <c r="E75" s="1201">
        <v>0.7</v>
      </c>
      <c r="F75" s="1202">
        <f t="shared" si="5"/>
        <v>0</v>
      </c>
      <c r="G75" s="1207">
        <f t="shared" si="5"/>
        <v>0</v>
      </c>
      <c r="H75" s="1207">
        <f t="shared" si="5"/>
        <v>0</v>
      </c>
      <c r="I75" s="1207">
        <f t="shared" si="5"/>
        <v>0</v>
      </c>
      <c r="J75" s="1204">
        <f t="shared" si="5"/>
        <v>0</v>
      </c>
      <c r="K75" s="1207">
        <f t="shared" si="5"/>
        <v>0</v>
      </c>
      <c r="L75" s="1207">
        <f t="shared" si="5"/>
        <v>0</v>
      </c>
      <c r="M75" s="1205">
        <f t="shared" si="5"/>
        <v>1.2204835959259419</v>
      </c>
      <c r="N75" s="1205">
        <f t="shared" si="5"/>
        <v>1.2478345488258427</v>
      </c>
      <c r="O75" s="1206">
        <f t="shared" si="5"/>
        <v>1.2738366385920616</v>
      </c>
      <c r="P75" s="1340"/>
      <c r="Q75" s="1340"/>
      <c r="R75" s="33"/>
      <c r="S75" s="33"/>
      <c r="T75" s="644"/>
      <c r="U75" s="644"/>
      <c r="V75" s="644"/>
    </row>
    <row r="76" spans="2:22">
      <c r="B76" s="198"/>
      <c r="E76" s="1201">
        <v>0.8</v>
      </c>
      <c r="F76" s="1202">
        <f t="shared" si="5"/>
        <v>0</v>
      </c>
      <c r="G76" s="1207">
        <f t="shared" si="5"/>
        <v>0</v>
      </c>
      <c r="H76" s="1207">
        <f t="shared" si="5"/>
        <v>0</v>
      </c>
      <c r="I76" s="1207">
        <f t="shared" si="5"/>
        <v>0</v>
      </c>
      <c r="J76" s="1204">
        <f t="shared" si="5"/>
        <v>0</v>
      </c>
      <c r="K76" s="1207">
        <f t="shared" si="5"/>
        <v>0</v>
      </c>
      <c r="L76" s="1207">
        <f t="shared" si="5"/>
        <v>0</v>
      </c>
      <c r="M76" s="1205">
        <f t="shared" si="5"/>
        <v>0</v>
      </c>
      <c r="N76" s="1205">
        <f t="shared" si="5"/>
        <v>1.2751855017257432</v>
      </c>
      <c r="O76" s="1206">
        <f t="shared" si="5"/>
        <v>1.3005131599251216</v>
      </c>
      <c r="P76" s="1340"/>
      <c r="Q76" s="1340"/>
      <c r="R76" s="644"/>
      <c r="S76" s="644"/>
      <c r="T76" s="644"/>
      <c r="U76" s="644"/>
      <c r="V76" s="644"/>
    </row>
    <row r="77" spans="2:22">
      <c r="B77" s="198"/>
      <c r="E77" s="1208">
        <v>0.9</v>
      </c>
      <c r="F77" s="1209">
        <f t="shared" si="5"/>
        <v>0</v>
      </c>
      <c r="G77" s="1210">
        <f t="shared" si="5"/>
        <v>0</v>
      </c>
      <c r="H77" s="1210">
        <f t="shared" si="5"/>
        <v>0</v>
      </c>
      <c r="I77" s="1210">
        <f t="shared" si="5"/>
        <v>0</v>
      </c>
      <c r="J77" s="1211">
        <f t="shared" si="5"/>
        <v>0</v>
      </c>
      <c r="K77" s="1211">
        <f t="shared" si="5"/>
        <v>0</v>
      </c>
      <c r="L77" s="1212">
        <f t="shared" si="5"/>
        <v>0</v>
      </c>
      <c r="M77" s="1212">
        <f t="shared" si="5"/>
        <v>0</v>
      </c>
      <c r="N77" s="1212">
        <f t="shared" si="5"/>
        <v>0</v>
      </c>
      <c r="O77" s="1213">
        <f t="shared" si="5"/>
        <v>1.3258408181244998</v>
      </c>
      <c r="P77" s="1340"/>
      <c r="Q77" s="1340"/>
      <c r="R77" s="644"/>
      <c r="S77" s="644"/>
      <c r="T77" s="644"/>
      <c r="U77" s="644"/>
      <c r="V77" s="644"/>
    </row>
    <row r="78" spans="2:22">
      <c r="B78" s="198"/>
      <c r="E78" s="653" t="s">
        <v>1017</v>
      </c>
      <c r="F78" s="644"/>
      <c r="G78" s="644"/>
      <c r="H78" s="644"/>
      <c r="I78" s="644"/>
      <c r="J78" s="645"/>
      <c r="K78" s="645"/>
      <c r="L78" s="654"/>
      <c r="M78" s="654"/>
      <c r="N78" s="654"/>
      <c r="O78" s="654"/>
      <c r="P78" s="644"/>
      <c r="Q78" s="644"/>
      <c r="R78" s="644"/>
      <c r="S78" s="644"/>
      <c r="T78" s="644"/>
      <c r="U78" s="644"/>
      <c r="V78" s="644"/>
    </row>
    <row r="79" spans="2:22">
      <c r="B79" s="198"/>
      <c r="E79" s="653"/>
      <c r="F79" s="644"/>
      <c r="G79" s="644"/>
      <c r="H79" s="644"/>
      <c r="I79" s="644"/>
      <c r="J79" s="645"/>
      <c r="K79" s="645"/>
      <c r="L79" s="654"/>
      <c r="M79" s="654"/>
      <c r="N79" s="654"/>
      <c r="O79" s="654"/>
      <c r="P79" s="644"/>
      <c r="Q79" s="644"/>
      <c r="R79" s="644"/>
      <c r="S79" s="644"/>
      <c r="T79" s="644"/>
      <c r="U79" s="644"/>
      <c r="V79" s="644"/>
    </row>
    <row r="80" spans="2:22">
      <c r="B80" s="198"/>
      <c r="E80" s="458"/>
      <c r="F80" s="458"/>
      <c r="G80" s="458"/>
      <c r="H80" s="458"/>
      <c r="I80" s="458"/>
      <c r="J80" s="458"/>
      <c r="K80" s="458"/>
      <c r="L80" s="458"/>
      <c r="M80" s="458"/>
      <c r="N80" s="458"/>
      <c r="O80" s="458"/>
      <c r="P80" s="458"/>
      <c r="Q80" s="458"/>
      <c r="R80" s="458"/>
      <c r="S80" s="458"/>
      <c r="T80" s="458"/>
      <c r="U80" s="458"/>
      <c r="V80" s="458"/>
    </row>
    <row r="81" spans="2:22">
      <c r="B81" s="198"/>
      <c r="C81" s="98" t="s">
        <v>1580</v>
      </c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T81" s="458"/>
      <c r="U81" s="458"/>
      <c r="V81" s="458"/>
    </row>
    <row r="82" spans="2:22">
      <c r="B82" s="198"/>
      <c r="C82" s="33" t="s">
        <v>614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T82" s="458"/>
      <c r="U82" s="458"/>
      <c r="V82" s="458"/>
    </row>
    <row r="83" spans="2:22" ht="15.6">
      <c r="B83" s="198"/>
      <c r="C83" s="33"/>
      <c r="D83" s="33" t="s">
        <v>555</v>
      </c>
      <c r="E83" s="35" t="s">
        <v>615</v>
      </c>
      <c r="F83" s="35"/>
      <c r="G83" s="35"/>
      <c r="H83" s="35"/>
      <c r="I83" s="35"/>
      <c r="J83" s="35"/>
      <c r="K83" s="607" t="s">
        <v>612</v>
      </c>
      <c r="L83" s="1360"/>
      <c r="M83" s="641"/>
      <c r="N83" s="139"/>
      <c r="O83" s="35"/>
      <c r="P83" s="35"/>
      <c r="Q83" s="35"/>
      <c r="T83" s="458"/>
      <c r="U83" s="458"/>
      <c r="V83" s="458"/>
    </row>
    <row r="84" spans="2:22" ht="15.6">
      <c r="B84" s="198"/>
      <c r="C84" s="33"/>
      <c r="D84" s="33" t="s">
        <v>555</v>
      </c>
      <c r="E84" s="35" t="s">
        <v>616</v>
      </c>
      <c r="F84" s="35"/>
      <c r="G84" s="35"/>
      <c r="H84" s="35"/>
      <c r="I84" s="35"/>
      <c r="J84" s="35"/>
      <c r="K84" s="607" t="s">
        <v>613</v>
      </c>
      <c r="L84" s="1360"/>
      <c r="M84" s="641"/>
      <c r="N84" s="139"/>
      <c r="O84" s="35"/>
      <c r="P84" s="35"/>
      <c r="Q84" s="35"/>
      <c r="T84" s="458"/>
      <c r="U84" s="458"/>
      <c r="V84" s="458"/>
    </row>
    <row r="85" spans="2:22">
      <c r="B85" s="198"/>
      <c r="C85" s="33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T85" s="458"/>
      <c r="U85" s="458"/>
      <c r="V85" s="458"/>
    </row>
    <row r="86" spans="2:22">
      <c r="B86" s="198"/>
      <c r="C86" s="33" t="s">
        <v>588</v>
      </c>
      <c r="D86" s="35"/>
      <c r="E86" s="35" t="s">
        <v>995</v>
      </c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T86" s="458"/>
      <c r="U86" s="458"/>
      <c r="V86" s="458"/>
    </row>
    <row r="87" spans="2:22" ht="15.6">
      <c r="B87" s="198"/>
      <c r="C87" s="33"/>
      <c r="D87" s="35"/>
      <c r="E87" s="607" t="s">
        <v>996</v>
      </c>
      <c r="F87" s="35"/>
      <c r="G87" s="35"/>
      <c r="H87" s="35"/>
      <c r="I87" s="35"/>
      <c r="J87" s="35"/>
      <c r="K87" s="35"/>
      <c r="L87" s="35"/>
      <c r="M87" s="35"/>
      <c r="N87" s="33"/>
      <c r="O87" s="35">
        <f>67%^0.35</f>
        <v>0.8692129357834798</v>
      </c>
      <c r="P87" s="35"/>
      <c r="T87" s="458"/>
      <c r="U87" s="458"/>
      <c r="V87" s="458"/>
    </row>
    <row r="88" spans="2:22">
      <c r="B88" s="198"/>
      <c r="E88" s="458"/>
      <c r="F88" s="458"/>
      <c r="G88" s="458"/>
      <c r="H88" s="458"/>
      <c r="I88" s="458"/>
      <c r="J88" s="458"/>
      <c r="K88" s="458"/>
      <c r="L88" s="458"/>
      <c r="M88" s="458"/>
      <c r="N88" s="458"/>
      <c r="O88" s="458"/>
      <c r="P88" s="458"/>
      <c r="Q88" s="458"/>
      <c r="R88" s="458"/>
      <c r="S88" s="458"/>
      <c r="T88" s="458"/>
      <c r="U88" s="458"/>
      <c r="V88" s="458"/>
    </row>
    <row r="89" spans="2:22">
      <c r="B89" s="198"/>
      <c r="E89" s="458"/>
      <c r="F89" s="458"/>
      <c r="G89" s="458"/>
      <c r="H89" s="458"/>
      <c r="I89" s="458"/>
      <c r="J89" s="458"/>
      <c r="K89" s="458"/>
      <c r="L89" s="458"/>
      <c r="M89" s="458"/>
      <c r="N89" s="458"/>
      <c r="O89" s="458"/>
      <c r="P89" s="458"/>
      <c r="Q89" s="458"/>
      <c r="R89" s="458"/>
      <c r="S89" s="458"/>
      <c r="T89" s="458"/>
      <c r="U89" s="458"/>
      <c r="V89" s="458"/>
    </row>
    <row r="90" spans="2:22">
      <c r="B90" s="198"/>
      <c r="E90" s="458"/>
      <c r="F90" s="458"/>
      <c r="G90" s="458"/>
      <c r="H90" s="458"/>
      <c r="I90" s="458"/>
      <c r="J90" s="458"/>
      <c r="K90" s="458"/>
      <c r="L90" s="458"/>
      <c r="M90" s="458"/>
      <c r="N90" s="458"/>
      <c r="O90" s="458"/>
      <c r="P90" s="458"/>
      <c r="Q90" s="458"/>
      <c r="R90" s="458"/>
      <c r="S90" s="458"/>
      <c r="T90" s="458"/>
      <c r="U90" s="458"/>
      <c r="V90" s="458"/>
    </row>
    <row r="91" spans="2:22">
      <c r="B91" s="198"/>
      <c r="E91" s="458"/>
      <c r="F91" s="458"/>
      <c r="G91" s="458"/>
      <c r="H91" s="458"/>
      <c r="I91" s="458"/>
      <c r="J91" s="458"/>
      <c r="K91" s="458"/>
      <c r="L91" s="458"/>
      <c r="M91" s="458"/>
      <c r="N91" s="458"/>
      <c r="O91" s="458"/>
      <c r="P91" s="458"/>
      <c r="Q91" s="458"/>
      <c r="R91" s="458"/>
      <c r="S91" s="458"/>
      <c r="T91" s="458"/>
      <c r="U91" s="458"/>
      <c r="V91" s="458"/>
    </row>
    <row r="92" spans="2:22">
      <c r="B92" s="198"/>
      <c r="E92" s="458"/>
      <c r="F92" s="458"/>
      <c r="G92" s="458"/>
      <c r="H92" s="458"/>
      <c r="I92" s="458"/>
      <c r="J92" s="458"/>
      <c r="K92" s="458"/>
      <c r="L92" s="458"/>
      <c r="M92" s="458"/>
      <c r="N92" s="458"/>
      <c r="O92" s="458"/>
      <c r="P92" s="458"/>
      <c r="Q92" s="458"/>
      <c r="R92" s="458"/>
      <c r="S92" s="458"/>
      <c r="T92" s="458"/>
      <c r="U92" s="458"/>
      <c r="V92" s="458"/>
    </row>
    <row r="93" spans="2:22">
      <c r="B93" s="198"/>
      <c r="E93" s="458"/>
      <c r="F93" s="458"/>
      <c r="G93" s="458"/>
      <c r="H93" s="458"/>
      <c r="I93" s="458"/>
      <c r="J93" s="458"/>
      <c r="K93" s="458"/>
      <c r="L93" s="458"/>
      <c r="M93" s="458"/>
      <c r="N93" s="458"/>
      <c r="O93" s="458"/>
      <c r="P93" s="458"/>
      <c r="Q93" s="458"/>
      <c r="R93" s="458"/>
      <c r="S93" s="458"/>
      <c r="T93" s="458"/>
      <c r="U93" s="458"/>
      <c r="V93" s="458"/>
    </row>
    <row r="94" spans="2:22">
      <c r="B94" s="198"/>
    </row>
    <row r="95" spans="2:22">
      <c r="B95" s="198"/>
    </row>
    <row r="96" spans="2:22">
      <c r="B96" s="198"/>
    </row>
    <row r="97" spans="2:2">
      <c r="B97" s="198"/>
    </row>
    <row r="98" spans="2:2">
      <c r="B98" s="198"/>
    </row>
    <row r="99" spans="2:2">
      <c r="B99" s="198"/>
    </row>
    <row r="100" spans="2:2">
      <c r="B100" s="198"/>
    </row>
    <row r="101" spans="2:2">
      <c r="B101" s="198"/>
    </row>
    <row r="102" spans="2:2">
      <c r="B102" s="198"/>
    </row>
    <row r="103" spans="2:2">
      <c r="B103" s="198"/>
    </row>
    <row r="104" spans="2:2">
      <c r="B104" s="198"/>
    </row>
    <row r="105" spans="2:2">
      <c r="B105" s="198"/>
    </row>
    <row r="106" spans="2:2">
      <c r="B106" s="198"/>
    </row>
    <row r="107" spans="2:2">
      <c r="B107" s="198"/>
    </row>
    <row r="108" spans="2:2">
      <c r="B108" s="198"/>
    </row>
    <row r="109" spans="2:2">
      <c r="B109" s="198"/>
    </row>
    <row r="110" spans="2:2">
      <c r="B110" s="198"/>
    </row>
    <row r="111" spans="2:2">
      <c r="B111" s="198"/>
    </row>
    <row r="112" spans="2:2">
      <c r="B112" s="198"/>
    </row>
    <row r="113" spans="2:2">
      <c r="B113" s="198"/>
    </row>
    <row r="114" spans="2:2">
      <c r="B114" s="198"/>
    </row>
    <row r="115" spans="2:2">
      <c r="B115" s="198"/>
    </row>
    <row r="116" spans="2:2">
      <c r="B116" s="198"/>
    </row>
    <row r="117" spans="2:2">
      <c r="B117" s="198"/>
    </row>
    <row r="118" spans="2:2">
      <c r="B118" s="198"/>
    </row>
    <row r="119" spans="2:2">
      <c r="B119" s="198"/>
    </row>
    <row r="120" spans="2:2">
      <c r="B120" s="198"/>
    </row>
    <row r="121" spans="2:2">
      <c r="B121" s="198"/>
    </row>
    <row r="122" spans="2:2">
      <c r="B122" s="198"/>
    </row>
  </sheetData>
  <mergeCells count="58">
    <mergeCell ref="N9:O9"/>
    <mergeCell ref="N10:O10"/>
    <mergeCell ref="N11:O11"/>
    <mergeCell ref="N12:O12"/>
    <mergeCell ref="N13:O13"/>
    <mergeCell ref="N4:O4"/>
    <mergeCell ref="N5:O5"/>
    <mergeCell ref="N6:O6"/>
    <mergeCell ref="N7:O7"/>
    <mergeCell ref="N8:O8"/>
    <mergeCell ref="N46:O46"/>
    <mergeCell ref="N39:O39"/>
    <mergeCell ref="N40:O40"/>
    <mergeCell ref="N42:O42"/>
    <mergeCell ref="N43:O43"/>
    <mergeCell ref="N45:O45"/>
    <mergeCell ref="N34:O34"/>
    <mergeCell ref="N35:O35"/>
    <mergeCell ref="N36:O36"/>
    <mergeCell ref="N37:O37"/>
    <mergeCell ref="N38:O38"/>
    <mergeCell ref="AC45:AD45"/>
    <mergeCell ref="AC46:AD46"/>
    <mergeCell ref="AC10:AD10"/>
    <mergeCell ref="AC11:AD11"/>
    <mergeCell ref="AC34:AD34"/>
    <mergeCell ref="AC35:AD35"/>
    <mergeCell ref="AC36:AD36"/>
    <mergeCell ref="AC37:AD37"/>
    <mergeCell ref="AC30:AD30"/>
    <mergeCell ref="AC31:AD31"/>
    <mergeCell ref="AC32:AD32"/>
    <mergeCell ref="AC33:AD33"/>
    <mergeCell ref="AC43:AD43"/>
    <mergeCell ref="AC38:AD38"/>
    <mergeCell ref="AC39:AD39"/>
    <mergeCell ref="AC40:AD40"/>
    <mergeCell ref="AC5:AD5"/>
    <mergeCell ref="AC4:AD4"/>
    <mergeCell ref="AC6:AD6"/>
    <mergeCell ref="AC7:AD7"/>
    <mergeCell ref="AC8:AD8"/>
    <mergeCell ref="AC42:AD42"/>
    <mergeCell ref="AC9:AD9"/>
    <mergeCell ref="N26:O26"/>
    <mergeCell ref="AC26:AD26"/>
    <mergeCell ref="AC27:AD27"/>
    <mergeCell ref="AC28:AD28"/>
    <mergeCell ref="AC12:AD12"/>
    <mergeCell ref="AC13:AD13"/>
    <mergeCell ref="AC29:AD29"/>
    <mergeCell ref="N27:O27"/>
    <mergeCell ref="N28:O28"/>
    <mergeCell ref="N29:O29"/>
    <mergeCell ref="N30:O30"/>
    <mergeCell ref="N31:O31"/>
    <mergeCell ref="N32:O32"/>
    <mergeCell ref="N33:O33"/>
  </mergeCells>
  <phoneticPr fontId="5" type="noConversion"/>
  <pageMargins left="0.78740157480314965" right="0.39370078740157483" top="0.39370078740157483" bottom="0.39370078740157483" header="0.31496062992125984" footer="0.27559055118110237"/>
  <pageSetup paperSize="9" firstPageNumber="2" orientation="portrait" blackAndWhite="1" horizontalDpi="4294967292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2"/>
  <dimension ref="A1:Q78"/>
  <sheetViews>
    <sheetView showGridLines="0" workbookViewId="0"/>
  </sheetViews>
  <sheetFormatPr baseColWidth="10" defaultColWidth="11.44140625" defaultRowHeight="15"/>
  <cols>
    <col min="1" max="1" width="1" style="453" customWidth="1"/>
    <col min="2" max="2" width="1" style="458" customWidth="1"/>
    <col min="3" max="5" width="2.44140625" style="458" customWidth="1"/>
    <col min="6" max="18" width="6.5546875" style="458" customWidth="1"/>
    <col min="19" max="19" width="9.5546875" style="458" customWidth="1"/>
    <col min="20" max="16384" width="11.44140625" style="458"/>
  </cols>
  <sheetData>
    <row r="1" spans="2:16" ht="18.600000000000001">
      <c r="B1" s="454"/>
      <c r="C1" s="455" t="s">
        <v>429</v>
      </c>
      <c r="D1" s="456"/>
      <c r="E1" s="457"/>
      <c r="F1" s="457"/>
      <c r="G1" s="457"/>
      <c r="H1" s="456"/>
      <c r="I1" s="456"/>
      <c r="J1" s="456"/>
      <c r="K1" s="456"/>
      <c r="L1" s="456"/>
      <c r="M1" s="456"/>
      <c r="N1" s="456"/>
      <c r="O1" s="456"/>
      <c r="P1" s="456"/>
    </row>
    <row r="2" spans="2:16">
      <c r="B2" s="455"/>
      <c r="C2" s="455"/>
      <c r="D2" s="456"/>
      <c r="E2" s="457"/>
      <c r="F2" s="457"/>
      <c r="G2" s="457"/>
      <c r="H2" s="456"/>
      <c r="I2" s="456"/>
      <c r="J2" s="456"/>
      <c r="K2" s="456"/>
      <c r="L2" s="456"/>
      <c r="M2" s="456"/>
      <c r="N2" s="456"/>
      <c r="O2" s="456"/>
      <c r="P2" s="456"/>
    </row>
    <row r="3" spans="2:16">
      <c r="C3" s="459" t="s">
        <v>1181</v>
      </c>
      <c r="D3" s="460"/>
      <c r="E3" s="461"/>
      <c r="F3" s="461"/>
      <c r="G3" s="461"/>
      <c r="H3" s="461"/>
      <c r="I3" s="461"/>
      <c r="J3" s="461"/>
      <c r="K3" s="460"/>
      <c r="L3" s="460"/>
      <c r="M3" s="460"/>
      <c r="N3" s="460"/>
      <c r="O3" s="460"/>
      <c r="P3" s="462"/>
    </row>
    <row r="4" spans="2:16">
      <c r="C4" s="463"/>
      <c r="D4" s="464" t="s">
        <v>1182</v>
      </c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6"/>
    </row>
    <row r="5" spans="2:16">
      <c r="C5" s="467"/>
      <c r="D5" s="456"/>
      <c r="E5" s="468" t="s">
        <v>842</v>
      </c>
      <c r="F5" s="469" t="s">
        <v>1183</v>
      </c>
      <c r="G5" s="456"/>
      <c r="H5" s="456"/>
      <c r="I5" s="456"/>
      <c r="J5" s="456"/>
      <c r="K5" s="456"/>
      <c r="L5" s="456"/>
      <c r="M5" s="456"/>
      <c r="N5" s="456"/>
      <c r="O5" s="456"/>
      <c r="P5" s="470"/>
    </row>
    <row r="6" spans="2:16">
      <c r="C6" s="467"/>
      <c r="D6" s="456"/>
      <c r="E6" s="468" t="s">
        <v>842</v>
      </c>
      <c r="F6" s="469" t="s">
        <v>174</v>
      </c>
      <c r="G6" s="456"/>
      <c r="H6" s="456"/>
      <c r="I6" s="456"/>
      <c r="J6" s="456"/>
      <c r="K6" s="456"/>
      <c r="L6" s="456"/>
      <c r="M6" s="456"/>
      <c r="N6" s="456"/>
      <c r="O6" s="456"/>
      <c r="P6" s="470"/>
    </row>
    <row r="7" spans="2:16">
      <c r="C7" s="467"/>
      <c r="D7" s="456"/>
      <c r="E7" s="468" t="s">
        <v>842</v>
      </c>
      <c r="F7" s="469" t="s">
        <v>1184</v>
      </c>
      <c r="G7" s="456"/>
      <c r="H7" s="456"/>
      <c r="I7" s="456"/>
      <c r="J7" s="456"/>
      <c r="K7" s="456"/>
      <c r="L7" s="456"/>
      <c r="M7" s="456"/>
      <c r="N7" s="456"/>
      <c r="O7" s="456"/>
      <c r="P7" s="470"/>
    </row>
    <row r="8" spans="2:16">
      <c r="C8" s="471"/>
      <c r="D8" s="472"/>
      <c r="E8" s="473" t="s">
        <v>842</v>
      </c>
      <c r="F8" s="474" t="s">
        <v>175</v>
      </c>
      <c r="G8" s="472"/>
      <c r="H8" s="472"/>
      <c r="I8" s="472"/>
      <c r="J8" s="472"/>
      <c r="K8" s="472"/>
      <c r="L8" s="472"/>
      <c r="M8" s="472"/>
      <c r="N8" s="472"/>
      <c r="O8" s="472"/>
      <c r="P8" s="475"/>
    </row>
    <row r="9" spans="2:16">
      <c r="C9" s="476" t="s">
        <v>1185</v>
      </c>
      <c r="D9" s="477" t="s">
        <v>1186</v>
      </c>
      <c r="E9" s="456"/>
      <c r="F9" s="456"/>
      <c r="G9" s="456"/>
      <c r="H9" s="456"/>
      <c r="I9" s="456"/>
      <c r="J9" s="456"/>
      <c r="K9" s="456"/>
      <c r="L9" s="456"/>
      <c r="M9" s="456"/>
      <c r="N9" s="456"/>
      <c r="O9" s="456"/>
      <c r="P9" s="470"/>
    </row>
    <row r="10" spans="2:16">
      <c r="C10" s="467"/>
      <c r="D10" s="456"/>
      <c r="E10" s="468" t="s">
        <v>842</v>
      </c>
      <c r="F10" s="469" t="s">
        <v>1187</v>
      </c>
      <c r="G10" s="456"/>
      <c r="H10" s="456"/>
      <c r="I10" s="456"/>
      <c r="J10" s="456"/>
      <c r="K10" s="456"/>
      <c r="L10" s="456"/>
      <c r="M10" s="456"/>
      <c r="N10" s="456"/>
      <c r="O10" s="456"/>
      <c r="P10" s="470"/>
    </row>
    <row r="11" spans="2:16">
      <c r="C11" s="467"/>
      <c r="D11" s="456"/>
      <c r="E11" s="468" t="s">
        <v>842</v>
      </c>
      <c r="F11" s="469" t="s">
        <v>1188</v>
      </c>
      <c r="G11" s="456"/>
      <c r="H11" s="456"/>
      <c r="I11" s="456"/>
      <c r="J11" s="456"/>
      <c r="K11" s="456"/>
      <c r="L11" s="456"/>
      <c r="M11" s="456"/>
      <c r="N11" s="456"/>
      <c r="O11" s="456"/>
      <c r="P11" s="470"/>
    </row>
    <row r="12" spans="2:16">
      <c r="C12" s="478"/>
      <c r="D12" s="479"/>
      <c r="E12" s="473" t="s">
        <v>842</v>
      </c>
      <c r="F12" s="480" t="s">
        <v>1189</v>
      </c>
      <c r="G12" s="479"/>
      <c r="H12" s="479"/>
      <c r="I12" s="479"/>
      <c r="J12" s="479"/>
      <c r="K12" s="479"/>
      <c r="L12" s="479"/>
      <c r="M12" s="479"/>
      <c r="N12" s="479"/>
      <c r="O12" s="479"/>
      <c r="P12" s="481"/>
    </row>
    <row r="13" spans="2:16">
      <c r="C13" s="482" t="s">
        <v>63</v>
      </c>
      <c r="D13" s="483" t="s">
        <v>1177</v>
      </c>
      <c r="E13" s="472"/>
      <c r="F13" s="472"/>
      <c r="G13" s="472"/>
      <c r="H13" s="472"/>
      <c r="I13" s="472"/>
      <c r="J13" s="472"/>
      <c r="K13" s="472"/>
      <c r="L13" s="472"/>
      <c r="M13" s="472"/>
      <c r="N13" s="472"/>
      <c r="O13" s="472"/>
      <c r="P13" s="475"/>
    </row>
    <row r="15" spans="2:16">
      <c r="C15" s="456"/>
      <c r="D15" s="456"/>
      <c r="E15" s="456"/>
      <c r="F15" s="456"/>
      <c r="G15" s="456"/>
      <c r="H15" s="456"/>
      <c r="I15" s="456"/>
      <c r="J15" s="456"/>
      <c r="K15" s="456"/>
      <c r="L15" s="456"/>
      <c r="M15" s="456"/>
      <c r="N15" s="456"/>
      <c r="O15" s="456"/>
      <c r="P15" s="456"/>
    </row>
    <row r="16" spans="2:16">
      <c r="C16" s="484" t="s">
        <v>1190</v>
      </c>
      <c r="D16" s="485"/>
      <c r="E16" s="485"/>
      <c r="F16" s="485"/>
      <c r="G16" s="485"/>
      <c r="H16" s="485"/>
      <c r="I16" s="485"/>
      <c r="J16" s="485"/>
      <c r="K16" s="485"/>
      <c r="L16" s="485"/>
      <c r="M16" s="485"/>
      <c r="N16" s="485"/>
      <c r="O16" s="485"/>
      <c r="P16" s="486"/>
    </row>
    <row r="17" spans="1:16">
      <c r="C17" s="487" t="s">
        <v>1191</v>
      </c>
      <c r="D17" s="488"/>
      <c r="E17" s="488"/>
      <c r="F17" s="488"/>
      <c r="G17" s="488"/>
      <c r="H17" s="488"/>
      <c r="I17" s="488"/>
      <c r="J17" s="488"/>
      <c r="K17" s="488"/>
      <c r="L17" s="488"/>
      <c r="M17" s="488"/>
      <c r="N17" s="488"/>
      <c r="O17" s="488"/>
      <c r="P17" s="489"/>
    </row>
    <row r="18" spans="1:16" ht="18.600000000000001">
      <c r="B18" s="454"/>
      <c r="C18" s="490"/>
      <c r="D18" s="491" t="s">
        <v>1092</v>
      </c>
      <c r="E18" s="492"/>
      <c r="F18" s="492"/>
      <c r="G18" s="492"/>
      <c r="H18" s="492"/>
      <c r="I18" s="492"/>
      <c r="J18" s="492"/>
      <c r="K18" s="492"/>
      <c r="L18" s="492"/>
      <c r="M18" s="492"/>
      <c r="N18" s="492"/>
      <c r="O18" s="492"/>
      <c r="P18" s="493"/>
    </row>
    <row r="19" spans="1:16">
      <c r="C19" s="494"/>
      <c r="D19" s="495"/>
      <c r="E19" s="495" t="s">
        <v>1193</v>
      </c>
      <c r="F19" s="496"/>
      <c r="G19" s="496"/>
      <c r="H19" s="496"/>
      <c r="I19" s="496"/>
      <c r="J19" s="496"/>
      <c r="K19" s="496"/>
      <c r="L19" s="496"/>
      <c r="M19" s="496"/>
      <c r="N19" s="496"/>
      <c r="O19" s="496"/>
      <c r="P19" s="497"/>
    </row>
    <row r="20" spans="1:16">
      <c r="C20" s="494"/>
      <c r="D20" s="496"/>
      <c r="E20" s="496" t="s">
        <v>1194</v>
      </c>
      <c r="F20" s="496"/>
      <c r="G20" s="496"/>
      <c r="H20" s="496"/>
      <c r="I20" s="496"/>
      <c r="J20" s="496"/>
      <c r="K20" s="496"/>
      <c r="L20" s="496"/>
      <c r="M20" s="496"/>
      <c r="N20" s="496"/>
      <c r="O20" s="496"/>
      <c r="P20" s="497"/>
    </row>
    <row r="21" spans="1:16" ht="18.600000000000001">
      <c r="B21" s="454"/>
      <c r="C21" s="494"/>
      <c r="D21" s="491" t="s">
        <v>1093</v>
      </c>
      <c r="E21" s="496"/>
      <c r="F21" s="496"/>
      <c r="G21" s="496"/>
      <c r="H21" s="496"/>
      <c r="I21" s="496"/>
      <c r="J21" s="496"/>
      <c r="K21" s="496"/>
      <c r="L21" s="496"/>
      <c r="M21" s="496"/>
      <c r="N21" s="496"/>
      <c r="O21" s="496"/>
      <c r="P21" s="497"/>
    </row>
    <row r="22" spans="1:16">
      <c r="C22" s="494"/>
      <c r="D22" s="498"/>
      <c r="E22" s="495" t="s">
        <v>332</v>
      </c>
      <c r="F22" s="496"/>
      <c r="G22" s="496"/>
      <c r="H22" s="496"/>
      <c r="I22" s="496"/>
      <c r="J22" s="496"/>
      <c r="K22" s="496"/>
      <c r="L22" s="496"/>
      <c r="M22" s="496"/>
      <c r="N22" s="496"/>
      <c r="O22" s="496"/>
      <c r="P22" s="497"/>
    </row>
    <row r="23" spans="1:16">
      <c r="C23" s="494"/>
      <c r="D23" s="496"/>
      <c r="E23" s="496" t="s">
        <v>192</v>
      </c>
      <c r="F23" s="496"/>
      <c r="G23" s="496"/>
      <c r="H23" s="496"/>
      <c r="I23" s="496"/>
      <c r="J23" s="496"/>
      <c r="K23" s="496"/>
      <c r="L23" s="496"/>
      <c r="M23" s="496"/>
      <c r="N23" s="496"/>
      <c r="O23" s="496"/>
      <c r="P23" s="497"/>
    </row>
    <row r="24" spans="1:16" s="502" customFormat="1" ht="18.600000000000001">
      <c r="A24" s="499"/>
      <c r="B24" s="454"/>
      <c r="C24" s="500"/>
      <c r="D24" s="491" t="s">
        <v>1101</v>
      </c>
      <c r="E24" s="495"/>
      <c r="F24" s="495"/>
      <c r="G24" s="495"/>
      <c r="H24" s="495"/>
      <c r="I24" s="495"/>
      <c r="J24" s="495"/>
      <c r="K24" s="495"/>
      <c r="L24" s="495"/>
      <c r="M24" s="495"/>
      <c r="N24" s="495"/>
      <c r="O24" s="495"/>
      <c r="P24" s="501"/>
    </row>
    <row r="25" spans="1:16">
      <c r="C25" s="503"/>
      <c r="D25" s="480" t="s">
        <v>1100</v>
      </c>
      <c r="E25" s="504"/>
      <c r="F25" s="488"/>
      <c r="G25" s="488"/>
      <c r="H25" s="488"/>
      <c r="I25" s="488"/>
      <c r="J25" s="488"/>
      <c r="K25" s="488"/>
      <c r="L25" s="488"/>
      <c r="M25" s="488"/>
      <c r="N25" s="488"/>
      <c r="O25" s="488"/>
      <c r="P25" s="489"/>
    </row>
    <row r="28" spans="1:16">
      <c r="C28" s="459" t="s">
        <v>273</v>
      </c>
      <c r="D28" s="460"/>
      <c r="E28" s="461"/>
      <c r="F28" s="461"/>
      <c r="G28" s="461"/>
      <c r="H28" s="461"/>
      <c r="I28" s="461"/>
      <c r="J28" s="461"/>
      <c r="K28" s="460"/>
      <c r="L28" s="460"/>
      <c r="M28" s="460"/>
      <c r="N28" s="460"/>
      <c r="O28" s="460"/>
      <c r="P28" s="462"/>
    </row>
    <row r="29" spans="1:16" ht="22.8">
      <c r="B29" s="505"/>
      <c r="C29" s="506"/>
      <c r="D29" s="465" t="s">
        <v>194</v>
      </c>
      <c r="E29" s="465"/>
      <c r="F29" s="507"/>
      <c r="G29" s="460" t="s">
        <v>436</v>
      </c>
      <c r="H29" s="460"/>
      <c r="I29" s="460"/>
      <c r="J29" s="460"/>
      <c r="K29" s="460"/>
      <c r="L29" s="460"/>
      <c r="M29" s="460"/>
      <c r="N29" s="465"/>
      <c r="O29" s="465"/>
      <c r="P29" s="466"/>
    </row>
    <row r="30" spans="1:16">
      <c r="C30" s="467"/>
      <c r="D30" s="457"/>
      <c r="E30" s="456"/>
      <c r="F30" s="456"/>
      <c r="G30" s="202" t="s">
        <v>189</v>
      </c>
      <c r="H30" s="508"/>
      <c r="I30" s="508"/>
      <c r="J30" s="508"/>
      <c r="K30" s="508"/>
      <c r="L30" s="508"/>
      <c r="M30" s="508"/>
      <c r="N30" s="456"/>
      <c r="O30" s="456"/>
      <c r="P30" s="470"/>
    </row>
    <row r="31" spans="1:16">
      <c r="C31" s="467"/>
      <c r="D31" s="456"/>
      <c r="E31" s="456"/>
      <c r="F31" s="456"/>
      <c r="G31" s="456"/>
      <c r="H31" s="456"/>
      <c r="I31" s="456"/>
      <c r="J31" s="456"/>
      <c r="K31" s="456"/>
      <c r="L31" s="456"/>
      <c r="M31" s="456"/>
      <c r="N31" s="456"/>
      <c r="O31" s="456"/>
      <c r="P31" s="470"/>
    </row>
    <row r="32" spans="1:16">
      <c r="C32" s="467"/>
      <c r="D32" s="510" t="s">
        <v>430</v>
      </c>
      <c r="E32" s="511"/>
      <c r="F32" s="457"/>
      <c r="G32" s="512" t="s">
        <v>63</v>
      </c>
      <c r="H32" s="469" t="s">
        <v>432</v>
      </c>
      <c r="I32" s="456"/>
      <c r="J32" s="456"/>
      <c r="K32" s="456"/>
      <c r="L32" s="456"/>
      <c r="M32" s="456"/>
      <c r="N32" s="456"/>
      <c r="O32" s="456"/>
      <c r="P32" s="470"/>
    </row>
    <row r="33" spans="2:17">
      <c r="C33" s="509"/>
      <c r="D33" s="510" t="s">
        <v>434</v>
      </c>
      <c r="E33" s="511"/>
      <c r="F33" s="457"/>
      <c r="G33" s="512" t="s">
        <v>63</v>
      </c>
      <c r="H33" s="469" t="s">
        <v>431</v>
      </c>
      <c r="I33" s="456"/>
      <c r="J33" s="456"/>
      <c r="K33" s="456"/>
      <c r="L33" s="456"/>
      <c r="M33" s="456"/>
      <c r="N33" s="456"/>
      <c r="O33" s="456"/>
      <c r="P33" s="470"/>
    </row>
    <row r="34" spans="2:17">
      <c r="C34" s="509"/>
      <c r="D34" s="510" t="s">
        <v>435</v>
      </c>
      <c r="E34" s="511"/>
      <c r="F34" s="457"/>
      <c r="G34" s="512" t="s">
        <v>63</v>
      </c>
      <c r="H34" s="513" t="s">
        <v>433</v>
      </c>
      <c r="I34" s="456"/>
      <c r="J34" s="456"/>
      <c r="K34" s="456"/>
      <c r="L34" s="456"/>
      <c r="M34" s="456"/>
      <c r="N34" s="456"/>
      <c r="O34" s="456"/>
      <c r="P34" s="470"/>
    </row>
    <row r="35" spans="2:17">
      <c r="C35" s="509"/>
      <c r="D35" s="514" t="s">
        <v>196</v>
      </c>
      <c r="E35" s="511"/>
      <c r="F35" s="457"/>
      <c r="G35" s="512" t="s">
        <v>63</v>
      </c>
      <c r="H35" s="513" t="s">
        <v>274</v>
      </c>
      <c r="I35" s="456"/>
      <c r="J35" s="456"/>
      <c r="K35" s="456"/>
      <c r="L35" s="456"/>
      <c r="M35" s="456"/>
      <c r="N35" s="456"/>
      <c r="O35" s="456"/>
      <c r="P35" s="470"/>
    </row>
    <row r="36" spans="2:17">
      <c r="C36" s="509"/>
      <c r="D36" s="514" t="s">
        <v>188</v>
      </c>
      <c r="E36" s="511"/>
      <c r="F36" s="457"/>
      <c r="G36" s="512" t="s">
        <v>63</v>
      </c>
      <c r="H36" s="513" t="s">
        <v>186</v>
      </c>
      <c r="I36" s="456"/>
      <c r="J36" s="456"/>
      <c r="K36" s="456"/>
      <c r="L36" s="456"/>
      <c r="M36" s="456"/>
      <c r="N36" s="456"/>
      <c r="O36" s="456"/>
      <c r="P36" s="470"/>
    </row>
    <row r="37" spans="2:17">
      <c r="C37" s="509"/>
      <c r="D37" s="515"/>
      <c r="E37" s="511"/>
      <c r="F37" s="457"/>
      <c r="G37" s="511"/>
      <c r="H37" s="469" t="s">
        <v>187</v>
      </c>
      <c r="I37" s="456"/>
      <c r="J37" s="456"/>
      <c r="K37" s="456"/>
      <c r="L37" s="456"/>
      <c r="M37" s="456"/>
      <c r="N37" s="456"/>
      <c r="O37" s="456"/>
      <c r="P37" s="470"/>
    </row>
    <row r="38" spans="2:17" ht="18.600000000000001">
      <c r="B38" s="518"/>
      <c r="C38" s="509"/>
      <c r="D38" s="515" t="s">
        <v>437</v>
      </c>
      <c r="E38" s="511" t="s">
        <v>275</v>
      </c>
      <c r="F38" s="457"/>
      <c r="G38" s="511"/>
      <c r="H38" s="469"/>
      <c r="I38" s="456"/>
      <c r="J38" s="456"/>
      <c r="K38" s="456"/>
      <c r="L38" s="456"/>
      <c r="M38" s="456"/>
      <c r="N38" s="456"/>
      <c r="O38" s="456"/>
      <c r="P38" s="470"/>
    </row>
    <row r="39" spans="2:17">
      <c r="C39" s="471"/>
      <c r="D39" s="472"/>
      <c r="E39" s="472"/>
      <c r="F39" s="472"/>
      <c r="G39" s="472"/>
      <c r="H39" s="472"/>
      <c r="I39" s="472"/>
      <c r="J39" s="472"/>
      <c r="K39" s="472"/>
      <c r="L39" s="472"/>
      <c r="M39" s="472"/>
      <c r="N39" s="472"/>
      <c r="O39" s="472"/>
      <c r="P39" s="475"/>
    </row>
    <row r="40" spans="2:17">
      <c r="C40" s="457"/>
      <c r="D40" s="45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</row>
    <row r="41" spans="2:17">
      <c r="C41" s="495" t="s">
        <v>1118</v>
      </c>
      <c r="D41" s="516" t="s">
        <v>320</v>
      </c>
      <c r="E41" s="457"/>
      <c r="F41" s="457"/>
      <c r="G41" s="456"/>
      <c r="H41" s="507"/>
      <c r="I41" s="507"/>
      <c r="J41" s="507"/>
      <c r="K41" s="507"/>
      <c r="L41" s="507"/>
      <c r="M41" s="457"/>
      <c r="N41" s="457"/>
      <c r="O41" s="457"/>
      <c r="P41" s="457"/>
    </row>
    <row r="42" spans="2:17">
      <c r="C42" s="495"/>
      <c r="D42" s="516"/>
      <c r="E42" s="457"/>
      <c r="F42" s="457"/>
      <c r="G42" s="456"/>
      <c r="H42" s="507"/>
      <c r="I42" s="507"/>
      <c r="J42" s="507"/>
      <c r="K42" s="507"/>
      <c r="L42" s="507"/>
      <c r="M42" s="457"/>
      <c r="N42" s="457"/>
      <c r="O42" s="457"/>
      <c r="P42" s="457"/>
    </row>
    <row r="43" spans="2:17">
      <c r="C43" s="507"/>
      <c r="D43" s="498" t="s">
        <v>439</v>
      </c>
      <c r="E43" s="457"/>
      <c r="F43" s="517"/>
      <c r="G43" s="457"/>
      <c r="H43" s="457"/>
      <c r="I43" s="457"/>
      <c r="J43" s="457"/>
      <c r="K43" s="457"/>
      <c r="L43" s="517" t="s">
        <v>63</v>
      </c>
      <c r="M43" s="507" t="s">
        <v>438</v>
      </c>
      <c r="N43" s="457"/>
      <c r="O43" s="457"/>
      <c r="P43" s="457"/>
      <c r="Q43" s="498"/>
    </row>
    <row r="44" spans="2:17">
      <c r="C44" s="457"/>
      <c r="D44" s="498" t="s">
        <v>440</v>
      </c>
      <c r="E44" s="457"/>
      <c r="F44" s="507"/>
      <c r="G44" s="456"/>
      <c r="H44" s="457"/>
      <c r="I44" s="457"/>
      <c r="J44" s="457"/>
      <c r="K44" s="457"/>
      <c r="L44" s="517" t="s">
        <v>63</v>
      </c>
      <c r="M44" s="507" t="s">
        <v>438</v>
      </c>
      <c r="N44" s="495" t="s">
        <v>441</v>
      </c>
      <c r="O44" s="457"/>
      <c r="P44" s="457"/>
    </row>
    <row r="45" spans="2:17">
      <c r="C45" s="457"/>
      <c r="D45" s="507" t="s">
        <v>252</v>
      </c>
      <c r="E45" s="457"/>
      <c r="F45" s="517" t="s">
        <v>63</v>
      </c>
      <c r="G45" s="495" t="s">
        <v>442</v>
      </c>
      <c r="H45" s="457"/>
      <c r="I45" s="519" t="s">
        <v>444</v>
      </c>
      <c r="J45" s="507" t="s">
        <v>438</v>
      </c>
      <c r="K45" s="495" t="s">
        <v>445</v>
      </c>
      <c r="L45" s="507"/>
      <c r="N45" s="507"/>
      <c r="O45" s="507"/>
      <c r="P45" s="507"/>
    </row>
    <row r="46" spans="2:17">
      <c r="C46" s="457"/>
      <c r="D46" s="457"/>
      <c r="E46" s="457"/>
      <c r="F46" s="457"/>
      <c r="G46" s="457"/>
      <c r="H46" s="457"/>
      <c r="I46" s="457"/>
      <c r="J46" s="457"/>
      <c r="K46" s="457"/>
      <c r="L46" s="457"/>
      <c r="M46" s="507"/>
      <c r="N46" s="507"/>
      <c r="O46" s="507"/>
      <c r="P46" s="507"/>
    </row>
    <row r="48" spans="2:17">
      <c r="C48" s="33"/>
      <c r="D48" s="33"/>
      <c r="E48" s="1340"/>
    </row>
    <row r="49" spans="3:5">
      <c r="C49" s="33"/>
      <c r="D49" s="35"/>
      <c r="E49" s="33"/>
    </row>
    <row r="50" spans="3:5">
      <c r="C50" s="33"/>
      <c r="D50" s="35"/>
      <c r="E50" s="35"/>
    </row>
    <row r="51" spans="3:5">
      <c r="C51" s="33"/>
      <c r="D51" s="35"/>
      <c r="E51" s="35"/>
    </row>
    <row r="52" spans="3:5">
      <c r="C52" s="33"/>
      <c r="D52" s="35"/>
      <c r="E52" s="35"/>
    </row>
    <row r="53" spans="3:5">
      <c r="C53" s="33"/>
      <c r="D53" s="35"/>
      <c r="E53" s="35"/>
    </row>
    <row r="54" spans="3:5">
      <c r="C54" s="33"/>
      <c r="D54" s="35"/>
      <c r="E54" s="35"/>
    </row>
    <row r="55" spans="3:5">
      <c r="C55" s="33"/>
      <c r="D55" s="35"/>
      <c r="E55" s="35"/>
    </row>
    <row r="56" spans="3:5">
      <c r="C56" s="33"/>
      <c r="D56" s="35"/>
      <c r="E56" s="35"/>
    </row>
    <row r="57" spans="3:5">
      <c r="C57" s="33"/>
      <c r="D57" s="35"/>
      <c r="E57" s="35"/>
    </row>
    <row r="58" spans="3:5">
      <c r="C58" s="33"/>
      <c r="D58" s="35"/>
      <c r="E58" s="35"/>
    </row>
    <row r="59" spans="3:5">
      <c r="C59" s="33"/>
      <c r="D59" s="35"/>
      <c r="E59" s="35"/>
    </row>
    <row r="60" spans="3:5">
      <c r="C60" s="33"/>
      <c r="D60" s="35"/>
      <c r="E60" s="35"/>
    </row>
    <row r="61" spans="3:5">
      <c r="C61" s="33"/>
      <c r="D61" s="35"/>
      <c r="E61" s="35"/>
    </row>
    <row r="62" spans="3:5">
      <c r="C62" s="33"/>
      <c r="D62" s="35"/>
      <c r="E62" s="35"/>
    </row>
    <row r="63" spans="3:5">
      <c r="C63" s="33"/>
      <c r="D63" s="35"/>
      <c r="E63" s="35"/>
    </row>
    <row r="64" spans="3:5">
      <c r="C64" s="33"/>
      <c r="D64" s="35"/>
      <c r="E64" s="35"/>
    </row>
    <row r="65" spans="3:5">
      <c r="C65" s="33"/>
      <c r="D65" s="35"/>
      <c r="E65" s="35"/>
    </row>
    <row r="66" spans="3:5">
      <c r="C66" s="33"/>
      <c r="D66" s="35"/>
      <c r="E66" s="35"/>
    </row>
    <row r="67" spans="3:5">
      <c r="C67" s="33"/>
      <c r="D67" s="35"/>
      <c r="E67" s="35"/>
    </row>
    <row r="68" spans="3:5">
      <c r="C68" s="33"/>
      <c r="D68" s="35"/>
      <c r="E68" s="35"/>
    </row>
    <row r="69" spans="3:5">
      <c r="C69" s="33"/>
      <c r="D69" s="35"/>
      <c r="E69" s="35"/>
    </row>
    <row r="70" spans="3:5">
      <c r="C70" s="33"/>
      <c r="D70" s="35"/>
      <c r="E70" s="35"/>
    </row>
    <row r="71" spans="3:5">
      <c r="C71" s="33"/>
      <c r="D71" s="35"/>
      <c r="E71" s="35"/>
    </row>
    <row r="72" spans="3:5">
      <c r="C72" s="33"/>
      <c r="D72" s="35"/>
      <c r="E72" s="35"/>
    </row>
    <row r="73" spans="3:5">
      <c r="C73" s="33"/>
      <c r="D73" s="35"/>
      <c r="E73" s="35"/>
    </row>
    <row r="74" spans="3:5">
      <c r="C74" s="33"/>
      <c r="D74" s="35"/>
      <c r="E74" s="35"/>
    </row>
    <row r="75" spans="3:5">
      <c r="C75" s="33"/>
      <c r="D75" s="35"/>
      <c r="E75" s="35"/>
    </row>
    <row r="76" spans="3:5">
      <c r="C76" s="33"/>
      <c r="D76" s="35"/>
      <c r="E76" s="35"/>
    </row>
    <row r="77" spans="3:5">
      <c r="C77" s="33"/>
      <c r="D77" s="35"/>
      <c r="E77" s="35"/>
    </row>
    <row r="78" spans="3:5">
      <c r="C78" s="33"/>
      <c r="D78" s="35"/>
      <c r="E78" s="35"/>
    </row>
  </sheetData>
  <phoneticPr fontId="24" type="noConversion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8">
    <pageSetUpPr fitToPage="1"/>
  </sheetPr>
  <dimension ref="A1:AH53"/>
  <sheetViews>
    <sheetView showGridLines="0" workbookViewId="0"/>
  </sheetViews>
  <sheetFormatPr baseColWidth="10" defaultColWidth="11.44140625" defaultRowHeight="13.8"/>
  <cols>
    <col min="1" max="1" width="1" style="423" customWidth="1"/>
    <col min="2" max="2" width="1" style="395" customWidth="1"/>
    <col min="3" max="3" width="2.44140625" style="395" customWidth="1"/>
    <col min="4" max="4" width="7.77734375" style="395" customWidth="1"/>
    <col min="5" max="15" width="6.77734375" style="395" customWidth="1"/>
    <col min="16" max="16" width="6.5546875" style="395" customWidth="1"/>
    <col min="17" max="17" width="8.77734375" style="395" customWidth="1"/>
    <col min="18" max="18" width="2.44140625" style="395" customWidth="1"/>
    <col min="19" max="19" width="7.77734375" style="395" customWidth="1"/>
    <col min="20" max="30" width="6.77734375" style="395" customWidth="1"/>
    <col min="31" max="32" width="6.5546875" style="395" customWidth="1"/>
    <col min="33" max="33" width="9.5546875" style="395" customWidth="1"/>
    <col min="34" max="16384" width="11.44140625" style="395"/>
  </cols>
  <sheetData>
    <row r="1" spans="2:32">
      <c r="C1" s="1022" t="s">
        <v>937</v>
      </c>
      <c r="R1" s="1022" t="s">
        <v>937</v>
      </c>
    </row>
    <row r="3" spans="2:32">
      <c r="C3" s="399" t="s">
        <v>427</v>
      </c>
      <c r="E3" s="1132" t="s">
        <v>1248</v>
      </c>
      <c r="R3" s="399" t="s">
        <v>427</v>
      </c>
      <c r="T3" s="1132" t="s">
        <v>1248</v>
      </c>
    </row>
    <row r="4" spans="2:32">
      <c r="C4" s="399"/>
      <c r="E4" s="397" t="s">
        <v>428</v>
      </c>
      <c r="R4" s="399"/>
      <c r="T4" s="397" t="s">
        <v>428</v>
      </c>
    </row>
    <row r="6" spans="2:32" ht="18.600000000000001">
      <c r="B6" s="89"/>
      <c r="C6" s="399" t="s">
        <v>1172</v>
      </c>
      <c r="D6" s="394"/>
      <c r="E6" s="400" t="s">
        <v>409</v>
      </c>
      <c r="F6" s="393"/>
      <c r="G6" s="393"/>
      <c r="H6" s="393"/>
      <c r="I6" s="393"/>
      <c r="K6" s="394"/>
      <c r="N6" s="448"/>
      <c r="O6" s="400" t="s">
        <v>253</v>
      </c>
      <c r="Q6" s="89"/>
      <c r="R6" s="399" t="s">
        <v>1172</v>
      </c>
      <c r="S6" s="394"/>
      <c r="T6" s="400" t="s">
        <v>409</v>
      </c>
      <c r="U6" s="393"/>
      <c r="V6" s="393"/>
      <c r="W6" s="393"/>
      <c r="X6" s="393"/>
      <c r="Z6" s="394"/>
      <c r="AC6" s="448">
        <v>70</v>
      </c>
      <c r="AD6" s="400" t="s">
        <v>253</v>
      </c>
    </row>
    <row r="7" spans="2:32">
      <c r="C7" s="394"/>
      <c r="D7" s="394"/>
      <c r="E7" s="400" t="s">
        <v>355</v>
      </c>
      <c r="F7" s="393"/>
      <c r="G7" s="393"/>
      <c r="H7" s="393"/>
      <c r="I7" s="393"/>
      <c r="K7" s="394"/>
      <c r="N7" s="448"/>
      <c r="O7" s="400" t="s">
        <v>352</v>
      </c>
      <c r="R7" s="394"/>
      <c r="S7" s="394"/>
      <c r="T7" s="400" t="s">
        <v>355</v>
      </c>
      <c r="U7" s="393"/>
      <c r="V7" s="393"/>
      <c r="W7" s="393"/>
      <c r="X7" s="393"/>
      <c r="Z7" s="394"/>
      <c r="AC7" s="448">
        <v>15</v>
      </c>
      <c r="AD7" s="400" t="s">
        <v>352</v>
      </c>
    </row>
    <row r="8" spans="2:32">
      <c r="C8" s="394"/>
      <c r="D8" s="394"/>
      <c r="E8" s="400" t="s">
        <v>410</v>
      </c>
      <c r="F8" s="393"/>
      <c r="G8" s="393"/>
      <c r="H8" s="393"/>
      <c r="I8" s="393"/>
      <c r="K8" s="394"/>
      <c r="L8" s="395" t="s">
        <v>411</v>
      </c>
      <c r="N8" s="448"/>
      <c r="O8" s="400" t="s">
        <v>353</v>
      </c>
      <c r="R8" s="394"/>
      <c r="S8" s="394"/>
      <c r="T8" s="400" t="s">
        <v>410</v>
      </c>
      <c r="U8" s="393"/>
      <c r="V8" s="393"/>
      <c r="W8" s="393"/>
      <c r="X8" s="393"/>
      <c r="Z8" s="394"/>
      <c r="AA8" s="395" t="s">
        <v>411</v>
      </c>
      <c r="AC8" s="448">
        <v>125</v>
      </c>
      <c r="AD8" s="400" t="s">
        <v>353</v>
      </c>
    </row>
    <row r="9" spans="2:32">
      <c r="C9" s="394"/>
      <c r="D9" s="394"/>
      <c r="E9" s="400" t="s">
        <v>254</v>
      </c>
      <c r="F9" s="393"/>
      <c r="G9" s="393"/>
      <c r="H9" s="393"/>
      <c r="I9" s="393"/>
      <c r="K9" s="394"/>
      <c r="L9" s="395" t="s">
        <v>412</v>
      </c>
      <c r="N9" s="449"/>
      <c r="O9" s="396" t="s">
        <v>354</v>
      </c>
      <c r="R9" s="394"/>
      <c r="S9" s="394"/>
      <c r="T9" s="400" t="s">
        <v>254</v>
      </c>
      <c r="U9" s="393"/>
      <c r="V9" s="393"/>
      <c r="W9" s="393"/>
      <c r="X9" s="393"/>
      <c r="Z9" s="394"/>
      <c r="AA9" s="395" t="s">
        <v>412</v>
      </c>
      <c r="AC9" s="449">
        <v>20000</v>
      </c>
      <c r="AD9" s="396" t="s">
        <v>354</v>
      </c>
      <c r="AF9" s="438"/>
    </row>
    <row r="10" spans="2:32">
      <c r="C10" s="394"/>
      <c r="D10" s="394"/>
      <c r="E10" s="400" t="s">
        <v>255</v>
      </c>
      <c r="F10" s="393"/>
      <c r="G10" s="393"/>
      <c r="H10" s="393"/>
      <c r="I10" s="393"/>
      <c r="J10" s="393"/>
      <c r="K10" s="394"/>
      <c r="L10" s="395" t="s">
        <v>413</v>
      </c>
      <c r="N10" s="450"/>
      <c r="O10" s="400" t="s">
        <v>353</v>
      </c>
      <c r="R10" s="394"/>
      <c r="S10" s="394"/>
      <c r="T10" s="400" t="s">
        <v>255</v>
      </c>
      <c r="U10" s="393"/>
      <c r="V10" s="393"/>
      <c r="W10" s="393"/>
      <c r="X10" s="393"/>
      <c r="Y10" s="393"/>
      <c r="Z10" s="394"/>
      <c r="AA10" s="395" t="s">
        <v>413</v>
      </c>
      <c r="AC10" s="450">
        <v>30</v>
      </c>
      <c r="AD10" s="400" t="s">
        <v>353</v>
      </c>
    </row>
    <row r="11" spans="2:32">
      <c r="C11" s="394"/>
      <c r="D11" s="394"/>
      <c r="E11" s="400" t="s">
        <v>256</v>
      </c>
      <c r="F11" s="393"/>
      <c r="G11" s="393"/>
      <c r="H11" s="393"/>
      <c r="I11" s="393"/>
      <c r="J11" s="393"/>
      <c r="K11" s="394"/>
      <c r="L11" s="395" t="s">
        <v>417</v>
      </c>
      <c r="N11" s="451"/>
      <c r="O11" s="396" t="s">
        <v>257</v>
      </c>
      <c r="R11" s="394"/>
      <c r="S11" s="394"/>
      <c r="T11" s="400" t="s">
        <v>256</v>
      </c>
      <c r="U11" s="393"/>
      <c r="V11" s="393"/>
      <c r="W11" s="393"/>
      <c r="X11" s="393"/>
      <c r="Y11" s="393"/>
      <c r="Z11" s="394"/>
      <c r="AA11" s="395" t="s">
        <v>417</v>
      </c>
      <c r="AC11" s="1130">
        <v>0.75</v>
      </c>
      <c r="AD11" s="396" t="s">
        <v>257</v>
      </c>
    </row>
    <row r="12" spans="2:32">
      <c r="C12" s="400"/>
      <c r="D12" s="393"/>
      <c r="E12" s="393"/>
      <c r="F12" s="393"/>
      <c r="G12" s="393"/>
      <c r="H12" s="394"/>
      <c r="I12" s="401"/>
      <c r="J12" s="400"/>
      <c r="R12" s="400"/>
      <c r="S12" s="393"/>
      <c r="T12" s="393"/>
      <c r="U12" s="393"/>
      <c r="V12" s="393"/>
      <c r="W12" s="394"/>
      <c r="X12" s="401"/>
      <c r="Y12" s="400"/>
    </row>
    <row r="13" spans="2:32">
      <c r="C13" s="400"/>
      <c r="D13" s="393"/>
      <c r="E13" s="393"/>
      <c r="F13" s="393"/>
      <c r="G13" s="393"/>
      <c r="H13" s="394"/>
      <c r="I13" s="401"/>
      <c r="J13" s="400"/>
      <c r="R13" s="400"/>
      <c r="S13" s="393"/>
      <c r="T13" s="393"/>
      <c r="U13" s="393"/>
      <c r="V13" s="393"/>
      <c r="W13" s="394"/>
      <c r="X13" s="401"/>
      <c r="Y13" s="400"/>
    </row>
    <row r="14" spans="2:32">
      <c r="C14" s="402" t="s">
        <v>258</v>
      </c>
      <c r="D14" s="394"/>
      <c r="E14" s="400" t="s">
        <v>259</v>
      </c>
      <c r="F14" s="393"/>
      <c r="G14" s="393"/>
      <c r="H14" s="393"/>
      <c r="I14" s="393"/>
      <c r="J14" s="393"/>
      <c r="R14" s="402" t="s">
        <v>258</v>
      </c>
      <c r="S14" s="394"/>
      <c r="T14" s="400" t="s">
        <v>259</v>
      </c>
      <c r="U14" s="393"/>
      <c r="V14" s="393"/>
      <c r="W14" s="393"/>
      <c r="X14" s="393"/>
      <c r="Y14" s="393"/>
    </row>
    <row r="15" spans="2:32">
      <c r="C15" s="393"/>
      <c r="D15" s="393"/>
      <c r="E15" s="400" t="s">
        <v>260</v>
      </c>
      <c r="F15" s="393"/>
      <c r="G15" s="393"/>
      <c r="H15" s="393"/>
      <c r="I15" s="393"/>
      <c r="J15" s="393"/>
      <c r="K15" s="393"/>
      <c r="L15" s="393"/>
      <c r="M15" s="393"/>
      <c r="N15" s="393"/>
      <c r="R15" s="393"/>
      <c r="S15" s="393"/>
      <c r="T15" s="400" t="s">
        <v>260</v>
      </c>
      <c r="U15" s="393"/>
      <c r="V15" s="393"/>
      <c r="W15" s="393"/>
      <c r="X15" s="393"/>
      <c r="Y15" s="393"/>
      <c r="Z15" s="393"/>
      <c r="AA15" s="393"/>
      <c r="AB15" s="393"/>
      <c r="AC15" s="393"/>
    </row>
    <row r="16" spans="2:32">
      <c r="C16" s="393"/>
      <c r="D16" s="393"/>
      <c r="E16" s="400" t="s">
        <v>261</v>
      </c>
      <c r="F16" s="393"/>
      <c r="G16" s="393"/>
      <c r="H16" s="393"/>
      <c r="I16" s="393"/>
      <c r="J16" s="393"/>
      <c r="K16" s="393"/>
      <c r="L16" s="393"/>
      <c r="M16" s="393"/>
      <c r="N16" s="393"/>
      <c r="R16" s="393"/>
      <c r="S16" s="393"/>
      <c r="T16" s="400" t="s">
        <v>261</v>
      </c>
      <c r="U16" s="393"/>
      <c r="V16" s="393"/>
      <c r="W16" s="393"/>
      <c r="X16" s="393"/>
      <c r="Y16" s="393"/>
      <c r="Z16" s="393"/>
      <c r="AA16" s="393"/>
      <c r="AB16" s="393"/>
      <c r="AC16" s="393"/>
    </row>
    <row r="17" spans="2:30">
      <c r="C17" s="393"/>
      <c r="D17" s="393"/>
      <c r="E17" s="400"/>
      <c r="F17" s="393"/>
      <c r="G17" s="393"/>
      <c r="H17" s="393"/>
      <c r="I17" s="393"/>
      <c r="J17" s="393"/>
      <c r="K17" s="393"/>
      <c r="L17" s="393"/>
      <c r="M17" s="393"/>
      <c r="N17" s="393"/>
      <c r="R17" s="393"/>
      <c r="S17" s="393"/>
      <c r="T17" s="400"/>
      <c r="U17" s="393"/>
      <c r="V17" s="393"/>
      <c r="W17" s="393"/>
      <c r="X17" s="393"/>
      <c r="Y17" s="393"/>
      <c r="Z17" s="393"/>
      <c r="AA17" s="393"/>
      <c r="AB17" s="393"/>
      <c r="AC17" s="393"/>
    </row>
    <row r="18" spans="2:30" ht="10.5" customHeight="1">
      <c r="C18" s="393"/>
      <c r="D18" s="393"/>
      <c r="E18" s="400"/>
      <c r="F18" s="394"/>
      <c r="H18" s="393"/>
      <c r="I18" s="394"/>
      <c r="J18" s="393"/>
      <c r="K18" s="443"/>
      <c r="L18" s="393"/>
      <c r="M18" s="393"/>
      <c r="N18" s="393"/>
      <c r="R18" s="393"/>
      <c r="S18" s="393"/>
      <c r="T18" s="400"/>
      <c r="U18" s="394"/>
      <c r="V18" s="395" t="s">
        <v>412</v>
      </c>
      <c r="W18" s="393"/>
      <c r="X18" s="394"/>
      <c r="Y18" s="393"/>
      <c r="Z18" s="443">
        <f>AC9</f>
        <v>20000</v>
      </c>
      <c r="AA18" s="393"/>
      <c r="AB18" s="393"/>
      <c r="AC18" s="393"/>
    </row>
    <row r="19" spans="2:30" ht="10.5" customHeight="1">
      <c r="C19" s="393"/>
      <c r="D19" s="393"/>
      <c r="E19" s="396"/>
      <c r="F19" s="404"/>
      <c r="G19" s="398"/>
      <c r="H19" s="398"/>
      <c r="I19" s="405"/>
      <c r="J19" s="404"/>
      <c r="K19" s="398"/>
      <c r="L19" s="398"/>
      <c r="M19" s="405"/>
      <c r="N19" s="406"/>
      <c r="O19" s="400"/>
      <c r="R19" s="393"/>
      <c r="S19" s="393"/>
      <c r="T19" s="396" t="s">
        <v>262</v>
      </c>
      <c r="U19" s="404" t="s">
        <v>263</v>
      </c>
      <c r="V19" s="398"/>
      <c r="W19" s="398"/>
      <c r="X19" s="405" t="s">
        <v>63</v>
      </c>
      <c r="Y19" s="404" t="s">
        <v>263</v>
      </c>
      <c r="Z19" s="398"/>
      <c r="AA19" s="398"/>
      <c r="AB19" s="405" t="s">
        <v>63</v>
      </c>
      <c r="AC19" s="406">
        <f>Z18/(Y20-AA20)</f>
        <v>210.52631578947367</v>
      </c>
      <c r="AD19" s="400" t="s">
        <v>61</v>
      </c>
    </row>
    <row r="20" spans="2:30" ht="10.5" customHeight="1">
      <c r="C20" s="393"/>
      <c r="D20" s="393"/>
      <c r="E20" s="400"/>
      <c r="F20" s="439"/>
      <c r="G20" s="403"/>
      <c r="I20" s="394"/>
      <c r="J20" s="408"/>
      <c r="K20" s="403"/>
      <c r="L20" s="400"/>
      <c r="M20" s="393"/>
      <c r="N20" s="393"/>
      <c r="R20" s="393"/>
      <c r="S20" s="393"/>
      <c r="T20" s="400"/>
      <c r="U20" s="439" t="s">
        <v>411</v>
      </c>
      <c r="V20" s="403" t="s">
        <v>264</v>
      </c>
      <c r="W20" s="395" t="s">
        <v>413</v>
      </c>
      <c r="X20" s="394"/>
      <c r="Y20" s="408">
        <f>AC8</f>
        <v>125</v>
      </c>
      <c r="Z20" s="403" t="s">
        <v>264</v>
      </c>
      <c r="AA20" s="400">
        <f>AC10</f>
        <v>30</v>
      </c>
      <c r="AB20" s="393"/>
      <c r="AC20" s="393"/>
    </row>
    <row r="21" spans="2:30" ht="10.5" customHeight="1">
      <c r="C21" s="393"/>
      <c r="D21" s="393"/>
      <c r="E21" s="400"/>
      <c r="F21" s="407"/>
      <c r="G21" s="403"/>
      <c r="H21" s="400"/>
      <c r="I21" s="394"/>
      <c r="J21" s="408"/>
      <c r="K21" s="403"/>
      <c r="L21" s="400"/>
      <c r="M21" s="393"/>
      <c r="N21" s="393"/>
      <c r="R21" s="393"/>
      <c r="S21" s="393"/>
      <c r="T21" s="400"/>
      <c r="U21" s="407"/>
      <c r="V21" s="403"/>
      <c r="W21" s="400"/>
      <c r="X21" s="394"/>
      <c r="Y21" s="408"/>
      <c r="Z21" s="403"/>
      <c r="AA21" s="400"/>
      <c r="AB21" s="393"/>
      <c r="AC21" s="393"/>
    </row>
    <row r="22" spans="2:30">
      <c r="C22" s="400"/>
      <c r="R22" s="400"/>
    </row>
    <row r="23" spans="2:30">
      <c r="C23" s="402" t="s">
        <v>265</v>
      </c>
      <c r="D23" s="394"/>
      <c r="E23" s="400" t="s">
        <v>266</v>
      </c>
      <c r="F23" s="393"/>
      <c r="G23" s="393"/>
      <c r="H23" s="393"/>
      <c r="I23" s="393"/>
      <c r="J23" s="393"/>
      <c r="K23" s="393"/>
      <c r="L23" s="393"/>
      <c r="M23" s="393"/>
      <c r="N23" s="393"/>
      <c r="R23" s="402" t="s">
        <v>265</v>
      </c>
      <c r="S23" s="394"/>
      <c r="T23" s="400" t="s">
        <v>266</v>
      </c>
      <c r="U23" s="393"/>
      <c r="V23" s="393"/>
      <c r="W23" s="393"/>
      <c r="X23" s="393"/>
      <c r="Y23" s="393"/>
      <c r="Z23" s="393"/>
      <c r="AA23" s="393"/>
      <c r="AB23" s="393"/>
      <c r="AC23" s="393"/>
    </row>
    <row r="24" spans="2:30">
      <c r="C24" s="393"/>
      <c r="D24" s="394"/>
      <c r="E24" s="1131" t="s">
        <v>1247</v>
      </c>
      <c r="F24" s="393"/>
      <c r="G24" s="393"/>
      <c r="H24" s="393"/>
      <c r="I24" s="393"/>
      <c r="J24" s="393"/>
      <c r="K24" s="393"/>
      <c r="L24" s="393"/>
      <c r="M24" s="393"/>
      <c r="N24" s="393"/>
      <c r="R24" s="393"/>
      <c r="S24" s="394"/>
      <c r="T24" s="1131" t="s">
        <v>1247</v>
      </c>
      <c r="U24" s="393"/>
      <c r="V24" s="393"/>
      <c r="W24" s="393"/>
      <c r="X24" s="393"/>
      <c r="Y24" s="393"/>
      <c r="Z24" s="393"/>
      <c r="AA24" s="393"/>
      <c r="AB24" s="393"/>
      <c r="AC24" s="393"/>
    </row>
    <row r="25" spans="2:30" ht="18.600000000000001">
      <c r="B25" s="89"/>
      <c r="C25" s="393"/>
      <c r="D25" s="394"/>
      <c r="E25" s="400" t="s">
        <v>414</v>
      </c>
      <c r="F25" s="393"/>
      <c r="G25" s="393"/>
      <c r="H25" s="393"/>
      <c r="I25" s="393"/>
      <c r="J25" s="393"/>
      <c r="K25" s="393"/>
      <c r="L25" s="393"/>
      <c r="M25" s="393"/>
      <c r="N25" s="393"/>
      <c r="Q25" s="89"/>
      <c r="R25" s="393"/>
      <c r="S25" s="394"/>
      <c r="T25" s="400" t="s">
        <v>414</v>
      </c>
      <c r="U25" s="393"/>
      <c r="V25" s="393"/>
      <c r="W25" s="393"/>
      <c r="X25" s="393"/>
      <c r="Y25" s="393"/>
      <c r="Z25" s="393"/>
      <c r="AA25" s="393"/>
      <c r="AB25" s="393"/>
      <c r="AC25" s="393"/>
    </row>
    <row r="26" spans="2:30">
      <c r="C26" s="393"/>
      <c r="D26" s="394"/>
      <c r="E26" s="400" t="s">
        <v>415</v>
      </c>
      <c r="F26" s="393"/>
      <c r="G26" s="393"/>
      <c r="H26" s="393"/>
      <c r="I26" s="393"/>
      <c r="J26" s="393"/>
      <c r="K26" s="393"/>
      <c r="L26" s="393"/>
      <c r="M26" s="393"/>
      <c r="N26" s="393"/>
      <c r="R26" s="393"/>
      <c r="S26" s="394"/>
      <c r="T26" s="400" t="s">
        <v>415</v>
      </c>
      <c r="U26" s="393"/>
      <c r="V26" s="393"/>
      <c r="W26" s="393"/>
      <c r="X26" s="393"/>
      <c r="Y26" s="393"/>
      <c r="Z26" s="393"/>
      <c r="AA26" s="393"/>
      <c r="AB26" s="393"/>
      <c r="AC26" s="393"/>
    </row>
    <row r="27" spans="2:30">
      <c r="C27" s="393"/>
      <c r="D27" s="394"/>
      <c r="E27" s="400"/>
      <c r="F27" s="393"/>
      <c r="G27" s="393"/>
      <c r="H27" s="393"/>
      <c r="I27" s="393"/>
      <c r="J27" s="393"/>
      <c r="K27" s="393"/>
      <c r="L27" s="393"/>
      <c r="M27" s="393"/>
      <c r="N27" s="393"/>
      <c r="R27" s="393"/>
      <c r="S27" s="394"/>
      <c r="T27" s="400"/>
      <c r="U27" s="393"/>
      <c r="V27" s="393"/>
      <c r="W27" s="393"/>
      <c r="X27" s="393"/>
      <c r="Y27" s="393"/>
      <c r="Z27" s="393"/>
      <c r="AA27" s="393"/>
      <c r="AB27" s="393"/>
      <c r="AC27" s="393"/>
    </row>
    <row r="28" spans="2:30" ht="10.5" customHeight="1">
      <c r="C28" s="393"/>
      <c r="D28" s="394"/>
      <c r="E28" s="400"/>
      <c r="F28" s="394"/>
      <c r="G28" s="394"/>
      <c r="H28" s="393"/>
      <c r="J28" s="393"/>
      <c r="K28" s="393"/>
      <c r="L28" s="393"/>
      <c r="M28" s="393"/>
      <c r="N28" s="393"/>
      <c r="R28" s="393"/>
      <c r="S28" s="394"/>
      <c r="T28" s="400"/>
      <c r="U28" s="394"/>
      <c r="V28" s="394"/>
      <c r="W28" s="393"/>
      <c r="X28" s="395" t="s">
        <v>412</v>
      </c>
      <c r="Y28" s="393"/>
      <c r="Z28" s="393"/>
      <c r="AA28" s="393"/>
      <c r="AB28" s="393"/>
      <c r="AC28" s="393"/>
    </row>
    <row r="29" spans="2:30" ht="10.5" customHeight="1">
      <c r="C29" s="393"/>
      <c r="D29" s="394"/>
      <c r="E29" s="396"/>
      <c r="F29" s="441"/>
      <c r="G29" s="398"/>
      <c r="H29" s="398"/>
      <c r="I29" s="398"/>
      <c r="J29" s="398"/>
      <c r="K29" s="398"/>
      <c r="L29" s="398"/>
      <c r="M29" s="393"/>
      <c r="N29" s="393"/>
      <c r="R29" s="393"/>
      <c r="S29" s="394"/>
      <c r="T29" s="396" t="s">
        <v>262</v>
      </c>
      <c r="U29" s="441" t="s">
        <v>419</v>
      </c>
      <c r="V29" s="398"/>
      <c r="W29" s="398"/>
      <c r="X29" s="398"/>
      <c r="Y29" s="398"/>
      <c r="Z29" s="398"/>
      <c r="AA29" s="398"/>
      <c r="AB29" s="393"/>
      <c r="AC29" s="393"/>
    </row>
    <row r="30" spans="2:30" ht="10.5" customHeight="1">
      <c r="C30" s="393"/>
      <c r="D30" s="394"/>
      <c r="E30" s="400"/>
      <c r="F30" s="439"/>
      <c r="G30" s="403"/>
      <c r="I30" s="403"/>
      <c r="J30" s="396"/>
      <c r="K30" s="403"/>
      <c r="L30" s="396"/>
      <c r="M30" s="393"/>
      <c r="N30" s="393"/>
      <c r="R30" s="393"/>
      <c r="S30" s="394"/>
      <c r="T30" s="400"/>
      <c r="U30" s="439" t="s">
        <v>411</v>
      </c>
      <c r="V30" s="403" t="s">
        <v>264</v>
      </c>
      <c r="W30" s="395" t="s">
        <v>418</v>
      </c>
      <c r="X30" s="403"/>
      <c r="Y30" s="396"/>
      <c r="Z30" s="403"/>
      <c r="AA30" s="396"/>
      <c r="AB30" s="393"/>
      <c r="AC30" s="393"/>
    </row>
    <row r="31" spans="2:30">
      <c r="C31" s="393"/>
      <c r="D31" s="394"/>
      <c r="E31" s="400"/>
      <c r="F31" s="407"/>
      <c r="G31" s="403"/>
      <c r="H31" s="400"/>
      <c r="I31" s="403"/>
      <c r="J31" s="396"/>
      <c r="K31" s="403"/>
      <c r="L31" s="396"/>
      <c r="M31" s="393"/>
      <c r="N31" s="393"/>
      <c r="R31" s="393"/>
      <c r="S31" s="394"/>
      <c r="T31" s="400"/>
      <c r="U31" s="407"/>
      <c r="V31" s="403"/>
      <c r="W31" s="400"/>
      <c r="X31" s="403"/>
      <c r="Y31" s="396"/>
      <c r="Z31" s="403"/>
      <c r="AA31" s="396"/>
      <c r="AB31" s="393"/>
      <c r="AC31" s="393"/>
    </row>
    <row r="32" spans="2:30" ht="10.5" customHeight="1">
      <c r="C32" s="393"/>
      <c r="D32" s="394"/>
      <c r="E32" s="400"/>
      <c r="F32" s="407"/>
      <c r="G32" s="403"/>
      <c r="H32" s="400"/>
      <c r="I32" s="442"/>
      <c r="J32" s="396"/>
      <c r="K32" s="403"/>
      <c r="L32" s="396"/>
      <c r="M32" s="393"/>
      <c r="N32" s="393"/>
      <c r="R32" s="393"/>
      <c r="S32" s="394"/>
      <c r="T32" s="400"/>
      <c r="U32" s="407"/>
      <c r="V32" s="403"/>
      <c r="W32" s="400"/>
      <c r="X32" s="442">
        <f>$AC$9</f>
        <v>20000</v>
      </c>
      <c r="Y32" s="396"/>
      <c r="Z32" s="403"/>
      <c r="AA32" s="396"/>
      <c r="AB32" s="393"/>
      <c r="AC32" s="393"/>
    </row>
    <row r="33" spans="3:32" ht="10.5" customHeight="1">
      <c r="C33" s="393"/>
      <c r="D33" s="394"/>
      <c r="E33" s="396"/>
      <c r="F33" s="441"/>
      <c r="G33" s="398"/>
      <c r="H33" s="398"/>
      <c r="I33" s="398"/>
      <c r="J33" s="398"/>
      <c r="K33" s="398"/>
      <c r="L33" s="398"/>
      <c r="M33" s="398"/>
      <c r="N33" s="409"/>
      <c r="O33" s="400"/>
      <c r="R33" s="393"/>
      <c r="S33" s="394"/>
      <c r="T33" s="396" t="s">
        <v>262</v>
      </c>
      <c r="U33" s="441" t="s">
        <v>426</v>
      </c>
      <c r="V33" s="398"/>
      <c r="W33" s="398"/>
      <c r="X33" s="398"/>
      <c r="Y33" s="398"/>
      <c r="Z33" s="398"/>
      <c r="AA33" s="398"/>
      <c r="AB33" s="398" t="s">
        <v>63</v>
      </c>
      <c r="AC33" s="409">
        <f>AC9/(AC8-(AC10+AC11*AA34))</f>
        <v>236.68639053254438</v>
      </c>
      <c r="AD33" s="400" t="s">
        <v>61</v>
      </c>
    </row>
    <row r="34" spans="3:32" ht="10.5" customHeight="1">
      <c r="C34" s="393"/>
      <c r="D34" s="394"/>
      <c r="E34" s="400"/>
      <c r="F34" s="407"/>
      <c r="G34" s="440"/>
      <c r="H34" s="410"/>
      <c r="I34" s="403"/>
      <c r="J34" s="411"/>
      <c r="K34" s="403"/>
      <c r="L34" s="393"/>
      <c r="M34" s="393"/>
      <c r="N34" s="393"/>
      <c r="R34" s="393"/>
      <c r="S34" s="394"/>
      <c r="T34" s="400"/>
      <c r="U34" s="407">
        <f>$AC$8</f>
        <v>125</v>
      </c>
      <c r="V34" s="440" t="s">
        <v>416</v>
      </c>
      <c r="W34" s="410">
        <f>$AC$10</f>
        <v>30</v>
      </c>
      <c r="X34" s="403" t="s">
        <v>1185</v>
      </c>
      <c r="Y34" s="411">
        <f>$AC$11</f>
        <v>0.75</v>
      </c>
      <c r="Z34" s="403" t="s">
        <v>267</v>
      </c>
      <c r="AA34" s="447">
        <v>14</v>
      </c>
      <c r="AB34" s="393" t="s">
        <v>1128</v>
      </c>
      <c r="AC34" s="393"/>
    </row>
    <row r="36" spans="3:32">
      <c r="C36" s="394"/>
      <c r="D36" s="396"/>
      <c r="E36" s="403"/>
      <c r="F36" s="400"/>
      <c r="G36" s="396"/>
      <c r="H36" s="394"/>
      <c r="I36" s="398"/>
      <c r="J36" s="412"/>
      <c r="K36" s="413"/>
      <c r="L36" s="393"/>
      <c r="M36" s="398"/>
      <c r="N36" s="406"/>
      <c r="O36" s="400"/>
      <c r="R36" s="394"/>
      <c r="S36" s="396"/>
      <c r="T36" s="403"/>
      <c r="U36" s="400"/>
      <c r="V36" s="396"/>
      <c r="W36" s="394"/>
      <c r="X36" s="398"/>
      <c r="Y36" s="412"/>
      <c r="Z36" s="413"/>
      <c r="AA36" s="393"/>
      <c r="AB36" s="398"/>
      <c r="AC36" s="406"/>
      <c r="AD36" s="400"/>
    </row>
    <row r="37" spans="3:32">
      <c r="C37" s="402" t="s">
        <v>268</v>
      </c>
      <c r="D37" s="394"/>
      <c r="E37" s="400" t="s">
        <v>1091</v>
      </c>
      <c r="F37" s="393"/>
      <c r="G37" s="393"/>
      <c r="H37" s="393"/>
      <c r="I37" s="393"/>
      <c r="J37" s="393"/>
      <c r="K37" s="393"/>
      <c r="L37" s="393"/>
      <c r="M37" s="393"/>
      <c r="N37" s="393"/>
      <c r="O37" s="393"/>
      <c r="R37" s="402" t="s">
        <v>268</v>
      </c>
      <c r="S37" s="394"/>
      <c r="T37" s="400" t="s">
        <v>1091</v>
      </c>
      <c r="U37" s="393"/>
      <c r="V37" s="393"/>
      <c r="W37" s="393"/>
      <c r="X37" s="393"/>
      <c r="Y37" s="393"/>
      <c r="Z37" s="393"/>
      <c r="AA37" s="393"/>
      <c r="AB37" s="393"/>
      <c r="AC37" s="393"/>
      <c r="AD37" s="393"/>
    </row>
    <row r="38" spans="3:32">
      <c r="C38" s="394"/>
      <c r="D38" s="394"/>
      <c r="E38" s="400" t="s">
        <v>421</v>
      </c>
      <c r="F38" s="393"/>
      <c r="G38" s="393"/>
      <c r="H38" s="393"/>
      <c r="I38" s="393"/>
      <c r="J38" s="393"/>
      <c r="K38" s="393"/>
      <c r="L38" s="393"/>
      <c r="M38" s="393"/>
      <c r="N38" s="393"/>
      <c r="O38" s="393"/>
      <c r="R38" s="394"/>
      <c r="S38" s="394"/>
      <c r="T38" s="400" t="s">
        <v>421</v>
      </c>
      <c r="U38" s="393"/>
      <c r="V38" s="393"/>
      <c r="W38" s="393"/>
      <c r="X38" s="393"/>
      <c r="Y38" s="393"/>
      <c r="Z38" s="393"/>
      <c r="AA38" s="393"/>
      <c r="AB38" s="393"/>
      <c r="AC38" s="393"/>
      <c r="AD38" s="393"/>
    </row>
    <row r="39" spans="3:32">
      <c r="C39" s="394"/>
      <c r="D39" s="394"/>
      <c r="E39" s="400" t="s">
        <v>422</v>
      </c>
      <c r="F39" s="393"/>
      <c r="G39" s="393"/>
      <c r="H39" s="393"/>
      <c r="I39" s="393"/>
      <c r="J39" s="393"/>
      <c r="K39" s="393"/>
      <c r="L39" s="393"/>
      <c r="M39" s="393"/>
      <c r="N39" s="393"/>
      <c r="O39" s="393"/>
      <c r="R39" s="394"/>
      <c r="S39" s="394"/>
      <c r="T39" s="400" t="s">
        <v>422</v>
      </c>
      <c r="U39" s="393"/>
      <c r="V39" s="393"/>
      <c r="W39" s="393"/>
      <c r="X39" s="393"/>
      <c r="Y39" s="393"/>
      <c r="Z39" s="393"/>
      <c r="AA39" s="393"/>
      <c r="AB39" s="393"/>
      <c r="AC39" s="393"/>
      <c r="AD39" s="393"/>
    </row>
    <row r="40" spans="3:32">
      <c r="C40" s="393"/>
      <c r="D40" s="394"/>
      <c r="E40" s="400"/>
      <c r="F40" s="400"/>
      <c r="G40" s="400"/>
      <c r="H40" s="400"/>
      <c r="I40" s="400"/>
      <c r="J40" s="400"/>
      <c r="K40" s="400"/>
      <c r="L40" s="400"/>
      <c r="M40" s="400"/>
      <c r="N40" s="400"/>
      <c r="O40" s="400"/>
      <c r="R40" s="393"/>
      <c r="S40" s="394"/>
      <c r="T40" s="400"/>
      <c r="U40" s="393"/>
      <c r="V40" s="393"/>
      <c r="W40" s="393"/>
      <c r="X40" s="393"/>
      <c r="Y40" s="393"/>
      <c r="Z40" s="393"/>
      <c r="AA40" s="393"/>
      <c r="AB40" s="393"/>
      <c r="AC40" s="393"/>
      <c r="AD40" s="393"/>
    </row>
    <row r="41" spans="3:32">
      <c r="C41" s="393"/>
      <c r="D41" s="394"/>
      <c r="E41" s="400"/>
      <c r="F41" s="400"/>
      <c r="G41" s="400"/>
      <c r="H41" s="400"/>
      <c r="I41" s="400"/>
      <c r="J41" s="400"/>
      <c r="K41" s="400"/>
      <c r="L41" s="400"/>
      <c r="M41" s="400"/>
      <c r="N41" s="400"/>
      <c r="O41" s="400"/>
      <c r="R41" s="393"/>
      <c r="S41" s="394"/>
      <c r="T41" s="400" t="s">
        <v>420</v>
      </c>
      <c r="U41" s="393"/>
      <c r="V41" s="393"/>
      <c r="W41" s="393"/>
      <c r="X41" s="393"/>
      <c r="Y41" s="393"/>
      <c r="Z41" s="393"/>
      <c r="AA41" s="393"/>
      <c r="AB41" s="393"/>
      <c r="AC41" s="393"/>
      <c r="AD41" s="393"/>
    </row>
    <row r="42" spans="3:32">
      <c r="E42" s="400"/>
      <c r="F42" s="400"/>
      <c r="G42" s="400"/>
      <c r="H42" s="400"/>
      <c r="I42" s="400"/>
      <c r="J42" s="400"/>
      <c r="K42" s="400"/>
      <c r="L42" s="400"/>
      <c r="M42" s="400"/>
      <c r="N42" s="400"/>
      <c r="O42" s="400"/>
      <c r="P42" s="394"/>
      <c r="T42" s="414" t="s">
        <v>269</v>
      </c>
      <c r="V42" s="452">
        <v>1</v>
      </c>
      <c r="W42" s="415" t="s">
        <v>270</v>
      </c>
      <c r="X42" s="416">
        <f>AC6</f>
        <v>70</v>
      </c>
      <c r="Y42" s="417" t="s">
        <v>271</v>
      </c>
      <c r="Z42" s="1067">
        <f>AC7</f>
        <v>15</v>
      </c>
      <c r="AA42" s="416" t="s">
        <v>352</v>
      </c>
      <c r="AB42" s="418" t="s">
        <v>63</v>
      </c>
      <c r="AC42" s="419">
        <f>V42%*X42*Z42</f>
        <v>10.500000000000002</v>
      </c>
      <c r="AD42" s="400" t="s">
        <v>353</v>
      </c>
      <c r="AE42" s="394"/>
    </row>
    <row r="43" spans="3:32">
      <c r="C43" s="393"/>
      <c r="D43" s="393"/>
      <c r="E43" s="400"/>
      <c r="F43" s="400"/>
      <c r="G43" s="400"/>
      <c r="H43" s="400"/>
      <c r="I43" s="400"/>
      <c r="J43" s="400"/>
      <c r="K43" s="400"/>
      <c r="L43" s="400"/>
      <c r="M43" s="400"/>
      <c r="N43" s="400"/>
      <c r="O43" s="400"/>
      <c r="R43" s="393"/>
      <c r="S43" s="393"/>
      <c r="T43" s="393"/>
      <c r="U43" s="393"/>
      <c r="V43" s="393"/>
      <c r="W43" s="393"/>
      <c r="X43" s="393"/>
      <c r="Y43" s="393"/>
      <c r="AA43" s="394"/>
      <c r="AB43" s="394"/>
      <c r="AC43" s="394"/>
      <c r="AD43" s="393"/>
    </row>
    <row r="44" spans="3:32" ht="10.5" customHeight="1">
      <c r="C44" s="393"/>
      <c r="D44" s="393"/>
      <c r="E44" s="400"/>
      <c r="F44" s="400"/>
      <c r="G44" s="400"/>
      <c r="H44" s="400"/>
      <c r="I44" s="400"/>
      <c r="J44" s="400"/>
      <c r="K44" s="400"/>
      <c r="L44" s="400"/>
      <c r="M44" s="400"/>
      <c r="N44" s="400"/>
      <c r="O44" s="400"/>
      <c r="R44" s="393"/>
      <c r="S44" s="393"/>
      <c r="T44" s="400"/>
      <c r="U44" s="394"/>
      <c r="V44" s="394"/>
      <c r="W44" s="393"/>
      <c r="X44" s="394"/>
      <c r="Y44" s="395" t="s">
        <v>412</v>
      </c>
      <c r="Z44" s="393"/>
      <c r="AA44" s="393"/>
      <c r="AB44" s="393"/>
      <c r="AC44" s="394"/>
      <c r="AD44" s="393"/>
    </row>
    <row r="45" spans="3:32" ht="10.5" customHeight="1">
      <c r="C45" s="393"/>
      <c r="D45" s="393"/>
      <c r="E45" s="400"/>
      <c r="F45" s="400"/>
      <c r="G45" s="400"/>
      <c r="H45" s="400"/>
      <c r="I45" s="400"/>
      <c r="J45" s="400"/>
      <c r="K45" s="400"/>
      <c r="L45" s="400"/>
      <c r="M45" s="400"/>
      <c r="N45" s="400"/>
      <c r="O45" s="400"/>
      <c r="R45" s="393"/>
      <c r="S45" s="393"/>
      <c r="T45" s="396" t="s">
        <v>262</v>
      </c>
      <c r="U45" s="441" t="s">
        <v>425</v>
      </c>
      <c r="V45" s="398"/>
      <c r="W45" s="398"/>
      <c r="X45" s="398"/>
      <c r="Y45" s="398"/>
      <c r="Z45" s="398"/>
      <c r="AA45" s="398"/>
      <c r="AB45" s="398"/>
      <c r="AC45" s="398"/>
      <c r="AD45" s="398"/>
    </row>
    <row r="46" spans="3:32" ht="10.5" customHeight="1">
      <c r="C46" s="393"/>
      <c r="D46" s="393"/>
      <c r="E46" s="400"/>
      <c r="F46" s="400"/>
      <c r="G46" s="400"/>
      <c r="H46" s="400"/>
      <c r="I46" s="400"/>
      <c r="J46" s="400"/>
      <c r="K46" s="400"/>
      <c r="L46" s="400"/>
      <c r="M46" s="400"/>
      <c r="N46" s="400"/>
      <c r="O46" s="400"/>
      <c r="R46" s="393"/>
      <c r="S46" s="393"/>
      <c r="T46" s="400"/>
      <c r="U46" s="439" t="s">
        <v>423</v>
      </c>
      <c r="V46" s="420" t="s">
        <v>1185</v>
      </c>
      <c r="W46" s="444" t="s">
        <v>424</v>
      </c>
      <c r="Y46" s="403" t="s">
        <v>264</v>
      </c>
      <c r="Z46" s="395" t="s">
        <v>418</v>
      </c>
      <c r="AA46" s="396"/>
      <c r="AB46" s="403"/>
      <c r="AC46" s="396"/>
      <c r="AF46" s="393"/>
    </row>
    <row r="47" spans="3:32">
      <c r="C47" s="393"/>
      <c r="D47" s="393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R47" s="393"/>
      <c r="S47" s="393"/>
      <c r="T47" s="393"/>
      <c r="U47" s="393"/>
      <c r="V47" s="393"/>
      <c r="W47" s="393"/>
      <c r="X47" s="393"/>
      <c r="Y47" s="393"/>
      <c r="AA47" s="394"/>
      <c r="AB47" s="394"/>
      <c r="AC47" s="394"/>
      <c r="AD47" s="393"/>
    </row>
    <row r="48" spans="3:32" ht="10.5" customHeight="1">
      <c r="C48" s="393"/>
      <c r="D48" s="393"/>
      <c r="E48" s="400"/>
      <c r="F48" s="400"/>
      <c r="G48" s="400"/>
      <c r="H48" s="400"/>
      <c r="I48" s="400"/>
      <c r="J48" s="400"/>
      <c r="K48" s="400"/>
      <c r="L48" s="400"/>
      <c r="M48" s="400"/>
      <c r="N48" s="400"/>
      <c r="O48" s="400"/>
      <c r="R48" s="393"/>
      <c r="S48" s="393"/>
      <c r="T48" s="400"/>
      <c r="U48" s="407"/>
      <c r="V48" s="403"/>
      <c r="W48" s="400"/>
      <c r="X48" s="442">
        <f>$AC$9</f>
        <v>20000</v>
      </c>
      <c r="Y48" s="396"/>
      <c r="Z48" s="403"/>
      <c r="AA48" s="396"/>
      <c r="AB48" s="394"/>
      <c r="AC48" s="394"/>
      <c r="AD48" s="393"/>
    </row>
    <row r="49" spans="2:34" ht="10.5" customHeight="1">
      <c r="C49" s="393"/>
      <c r="D49" s="393"/>
      <c r="E49" s="400"/>
      <c r="F49" s="400"/>
      <c r="G49" s="400"/>
      <c r="H49" s="400"/>
      <c r="I49" s="400"/>
      <c r="J49" s="400"/>
      <c r="K49" s="400"/>
      <c r="L49" s="400"/>
      <c r="M49" s="400"/>
      <c r="N49" s="400"/>
      <c r="O49" s="400"/>
      <c r="R49" s="393"/>
      <c r="S49" s="393"/>
      <c r="T49" s="396" t="s">
        <v>262</v>
      </c>
      <c r="U49" s="441" t="s">
        <v>425</v>
      </c>
      <c r="V49" s="398"/>
      <c r="W49" s="398"/>
      <c r="X49" s="398"/>
      <c r="Y49" s="398"/>
      <c r="Z49" s="398"/>
      <c r="AA49" s="398"/>
      <c r="AB49" s="398"/>
      <c r="AC49" s="398"/>
      <c r="AD49" s="410"/>
    </row>
    <row r="50" spans="2:34" ht="10.5" customHeight="1">
      <c r="C50" s="393"/>
      <c r="D50" s="393"/>
      <c r="E50" s="400"/>
      <c r="F50" s="400"/>
      <c r="G50" s="400"/>
      <c r="H50" s="400"/>
      <c r="I50" s="400"/>
      <c r="J50" s="400"/>
      <c r="K50" s="400"/>
      <c r="L50" s="400"/>
      <c r="M50" s="400"/>
      <c r="N50" s="400"/>
      <c r="O50" s="400"/>
      <c r="R50" s="393"/>
      <c r="S50" s="393"/>
      <c r="T50" s="400"/>
      <c r="U50" s="445">
        <f>$AC$8</f>
        <v>125</v>
      </c>
      <c r="V50" s="420" t="s">
        <v>1185</v>
      </c>
      <c r="W50" s="421">
        <f>AC42</f>
        <v>10.500000000000002</v>
      </c>
      <c r="X50" s="395" t="s">
        <v>1128</v>
      </c>
      <c r="Y50" s="403" t="s">
        <v>264</v>
      </c>
      <c r="Z50" s="445">
        <f>$AC$10</f>
        <v>30</v>
      </c>
      <c r="AA50" s="403" t="s">
        <v>1185</v>
      </c>
      <c r="AB50" s="411">
        <f>$AC$11</f>
        <v>0.75</v>
      </c>
      <c r="AC50" s="403" t="s">
        <v>267</v>
      </c>
      <c r="AD50" s="446">
        <f>AA34</f>
        <v>14</v>
      </c>
    </row>
    <row r="51" spans="2:34">
      <c r="E51" s="400"/>
      <c r="F51" s="400"/>
      <c r="G51" s="400"/>
      <c r="H51" s="400"/>
      <c r="I51" s="400"/>
      <c r="J51" s="400"/>
      <c r="K51" s="400"/>
      <c r="L51" s="400"/>
      <c r="M51" s="400"/>
      <c r="N51" s="400"/>
      <c r="O51" s="400"/>
      <c r="AA51" s="394"/>
    </row>
    <row r="52" spans="2:34">
      <c r="C52" s="394"/>
      <c r="D52" s="394"/>
      <c r="E52" s="400"/>
      <c r="F52" s="400"/>
      <c r="G52" s="400"/>
      <c r="H52" s="400"/>
      <c r="I52" s="400"/>
      <c r="J52" s="400"/>
      <c r="K52" s="400"/>
      <c r="L52" s="400"/>
      <c r="M52" s="400"/>
      <c r="N52" s="400"/>
      <c r="O52" s="400"/>
      <c r="P52" s="394"/>
      <c r="R52" s="394"/>
      <c r="S52" s="394"/>
      <c r="T52" s="396" t="s">
        <v>262</v>
      </c>
      <c r="U52" s="422">
        <f>X48/((U50+W50)-(Z50+AB50*AD50))</f>
        <v>210.52631578947367</v>
      </c>
      <c r="V52" s="394" t="s">
        <v>61</v>
      </c>
      <c r="W52" s="394"/>
      <c r="X52" s="394"/>
      <c r="Y52" s="394"/>
      <c r="Z52" s="394"/>
      <c r="AA52" s="394"/>
      <c r="AB52" s="394"/>
      <c r="AC52" s="394"/>
      <c r="AD52" s="394"/>
      <c r="AE52" s="394"/>
      <c r="AF52" s="394"/>
      <c r="AG52" s="394"/>
      <c r="AH52" s="394"/>
    </row>
    <row r="53" spans="2:34">
      <c r="B53" s="393"/>
      <c r="C53" s="394"/>
      <c r="D53" s="394"/>
      <c r="E53" s="394"/>
      <c r="F53" s="394"/>
      <c r="G53" s="394"/>
      <c r="H53" s="394"/>
      <c r="I53" s="394"/>
      <c r="J53" s="394"/>
      <c r="K53" s="394"/>
      <c r="L53" s="394"/>
      <c r="M53" s="394"/>
      <c r="N53" s="394"/>
      <c r="O53" s="394"/>
      <c r="P53" s="394"/>
      <c r="Q53" s="393"/>
      <c r="R53" s="394"/>
      <c r="S53" s="394"/>
      <c r="T53" s="394"/>
      <c r="U53" s="394"/>
      <c r="V53" s="394"/>
      <c r="W53" s="394"/>
      <c r="X53" s="394"/>
      <c r="Y53" s="394"/>
      <c r="Z53" s="394"/>
      <c r="AA53" s="394"/>
      <c r="AB53" s="394"/>
      <c r="AC53" s="394"/>
      <c r="AD53" s="394"/>
      <c r="AE53" s="394"/>
      <c r="AF53" s="394"/>
      <c r="AG53" s="394"/>
      <c r="AH53" s="394"/>
    </row>
  </sheetData>
  <phoneticPr fontId="24" type="noConversion"/>
  <pageMargins left="0.78740157480314965" right="0.78740157480314965" top="0.78740157480314965" bottom="0.78740157480314965" header="0.51181102362204722" footer="0.51181102362204722"/>
  <pageSetup paperSize="9" orientation="portrait" blackAndWhite="1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7"/>
  <dimension ref="A1:AF49"/>
  <sheetViews>
    <sheetView showGridLines="0" workbookViewId="0"/>
  </sheetViews>
  <sheetFormatPr baseColWidth="10" defaultColWidth="11.44140625" defaultRowHeight="13.8"/>
  <cols>
    <col min="1" max="1" width="1" style="25" customWidth="1"/>
    <col min="2" max="2" width="1" style="29" customWidth="1"/>
    <col min="3" max="3" width="2.44140625" style="29" customWidth="1"/>
    <col min="4" max="16" width="6.5546875" style="29" customWidth="1"/>
    <col min="17" max="17" width="3.77734375" style="29" customWidth="1"/>
    <col min="18" max="30" width="6.5546875" style="29" customWidth="1"/>
    <col min="31" max="16384" width="11.44140625" style="29"/>
  </cols>
  <sheetData>
    <row r="1" spans="3:19">
      <c r="C1" s="436" t="s">
        <v>23</v>
      </c>
      <c r="R1" s="1021" t="s">
        <v>936</v>
      </c>
      <c r="S1" s="1019" t="str">
        <f>Text!C1608</f>
        <v>3.4</v>
      </c>
    </row>
    <row r="2" spans="3:19">
      <c r="R2" s="1019" t="s">
        <v>933</v>
      </c>
      <c r="S2" s="1019"/>
    </row>
    <row r="3" spans="3:19">
      <c r="C3" s="391" t="s">
        <v>36</v>
      </c>
      <c r="F3" s="98" t="s">
        <v>1608</v>
      </c>
      <c r="M3" s="98"/>
    </row>
    <row r="4" spans="3:19">
      <c r="F4" s="98" t="s">
        <v>1249</v>
      </c>
    </row>
    <row r="5" spans="3:19">
      <c r="F5" s="98" t="s">
        <v>1244</v>
      </c>
    </row>
    <row r="7" spans="3:19" ht="12.75" customHeight="1">
      <c r="F7" s="551" t="s">
        <v>1087</v>
      </c>
      <c r="G7" s="860"/>
      <c r="H7" s="551"/>
      <c r="I7" s="860"/>
      <c r="J7" s="551" t="s">
        <v>1086</v>
      </c>
      <c r="K7" s="551"/>
      <c r="L7" s="551" t="s">
        <v>550</v>
      </c>
      <c r="M7" s="860"/>
      <c r="N7" s="551" t="s">
        <v>276</v>
      </c>
      <c r="O7" s="860"/>
    </row>
    <row r="8" spans="3:19" ht="12.75" customHeight="1">
      <c r="F8" s="192" t="s">
        <v>1064</v>
      </c>
      <c r="H8" s="192"/>
      <c r="J8" s="192" t="s">
        <v>1063</v>
      </c>
      <c r="L8" s="549">
        <v>2013.53</v>
      </c>
      <c r="M8" s="192" t="s">
        <v>1088</v>
      </c>
      <c r="N8" s="192">
        <v>16.37</v>
      </c>
      <c r="O8" s="192" t="s">
        <v>1088</v>
      </c>
    </row>
    <row r="9" spans="3:19" ht="12.75" customHeight="1">
      <c r="F9" s="192" t="s">
        <v>1066</v>
      </c>
      <c r="H9" s="192"/>
      <c r="J9" s="192" t="s">
        <v>1065</v>
      </c>
      <c r="L9" s="549">
        <v>55.32</v>
      </c>
      <c r="M9" s="192" t="s">
        <v>1088</v>
      </c>
      <c r="N9" s="192">
        <v>0.45</v>
      </c>
      <c r="O9" s="192" t="s">
        <v>1088</v>
      </c>
    </row>
    <row r="10" spans="3:19" ht="12.75" customHeight="1">
      <c r="F10" s="192" t="s">
        <v>1068</v>
      </c>
      <c r="H10" s="192"/>
      <c r="J10" s="192" t="s">
        <v>1067</v>
      </c>
      <c r="L10" s="549">
        <v>1958.21</v>
      </c>
      <c r="M10" s="192" t="s">
        <v>1088</v>
      </c>
      <c r="N10" s="192">
        <v>15.92</v>
      </c>
      <c r="O10" s="192" t="s">
        <v>1088</v>
      </c>
    </row>
    <row r="11" spans="3:19" ht="12.75" customHeight="1">
      <c r="F11" s="192" t="s">
        <v>1070</v>
      </c>
      <c r="H11" s="192"/>
      <c r="J11" s="192" t="s">
        <v>1069</v>
      </c>
      <c r="L11" s="549">
        <v>1438.56</v>
      </c>
      <c r="M11" s="192" t="s">
        <v>1088</v>
      </c>
      <c r="N11" s="192">
        <v>11.7</v>
      </c>
      <c r="O11" s="192" t="s">
        <v>1088</v>
      </c>
    </row>
    <row r="12" spans="3:19" ht="12.75" customHeight="1">
      <c r="F12" s="192" t="s">
        <v>1072</v>
      </c>
      <c r="H12" s="192"/>
      <c r="J12" s="192" t="s">
        <v>1071</v>
      </c>
      <c r="L12" s="549">
        <v>519.65</v>
      </c>
      <c r="M12" s="192" t="s">
        <v>1088</v>
      </c>
      <c r="N12" s="192">
        <v>4.22</v>
      </c>
      <c r="O12" s="192" t="s">
        <v>1088</v>
      </c>
    </row>
    <row r="13" spans="3:19" ht="12.75" customHeight="1">
      <c r="F13" s="192" t="s">
        <v>1074</v>
      </c>
      <c r="H13" s="192"/>
      <c r="J13" s="192" t="s">
        <v>1073</v>
      </c>
      <c r="L13" s="549">
        <v>785.7</v>
      </c>
      <c r="M13" s="192" t="s">
        <v>1088</v>
      </c>
      <c r="N13" s="192">
        <v>6.39</v>
      </c>
      <c r="O13" s="192" t="s">
        <v>1088</v>
      </c>
    </row>
    <row r="14" spans="3:19" ht="12.75" customHeight="1">
      <c r="F14" s="192" t="s">
        <v>277</v>
      </c>
      <c r="H14" s="192"/>
      <c r="J14" s="192" t="s">
        <v>1075</v>
      </c>
      <c r="L14" s="549">
        <v>118</v>
      </c>
      <c r="M14" s="192" t="s">
        <v>1088</v>
      </c>
      <c r="N14" s="192">
        <v>0.96</v>
      </c>
      <c r="O14" s="192" t="s">
        <v>1088</v>
      </c>
    </row>
    <row r="15" spans="3:19" ht="12.75" customHeight="1">
      <c r="F15" s="192" t="s">
        <v>1077</v>
      </c>
      <c r="H15" s="192"/>
      <c r="J15" s="192" t="s">
        <v>1076</v>
      </c>
      <c r="L15" s="549">
        <v>9585.32</v>
      </c>
      <c r="M15" s="192" t="s">
        <v>1089</v>
      </c>
      <c r="N15" s="192">
        <v>77.930000000000007</v>
      </c>
      <c r="O15" s="192" t="s">
        <v>1089</v>
      </c>
    </row>
    <row r="16" spans="3:19" ht="12.75" customHeight="1">
      <c r="F16" s="192" t="s">
        <v>1079</v>
      </c>
      <c r="H16" s="192"/>
      <c r="J16" s="192" t="s">
        <v>1078</v>
      </c>
      <c r="L16" s="549">
        <v>12074.3</v>
      </c>
      <c r="M16" s="192" t="s">
        <v>1089</v>
      </c>
      <c r="N16" s="192">
        <v>98.17</v>
      </c>
      <c r="O16" s="192" t="s">
        <v>1089</v>
      </c>
    </row>
    <row r="17" spans="2:32" ht="12.75" customHeight="1">
      <c r="F17" s="192" t="s">
        <v>1081</v>
      </c>
      <c r="H17" s="192"/>
      <c r="J17" s="192" t="s">
        <v>1080</v>
      </c>
      <c r="L17" s="549">
        <v>1962</v>
      </c>
      <c r="M17" s="192" t="s">
        <v>1089</v>
      </c>
      <c r="N17" s="192">
        <v>15.95</v>
      </c>
      <c r="O17" s="192" t="s">
        <v>1089</v>
      </c>
    </row>
    <row r="18" spans="2:32" ht="12.75" customHeight="1">
      <c r="F18" s="192" t="s">
        <v>1083</v>
      </c>
      <c r="H18" s="192"/>
      <c r="J18" s="192" t="s">
        <v>1082</v>
      </c>
      <c r="L18" s="549">
        <v>1704.45</v>
      </c>
      <c r="M18" s="192" t="s">
        <v>1089</v>
      </c>
      <c r="N18" s="192">
        <v>13.86</v>
      </c>
      <c r="O18" s="192" t="s">
        <v>1089</v>
      </c>
    </row>
    <row r="19" spans="2:32" ht="12.75" customHeight="1">
      <c r="F19" s="192" t="s">
        <v>1085</v>
      </c>
      <c r="H19" s="192"/>
      <c r="J19" s="192" t="s">
        <v>1084</v>
      </c>
      <c r="L19" s="192">
        <v>6</v>
      </c>
      <c r="M19" s="192" t="s">
        <v>1090</v>
      </c>
      <c r="N19" s="180" t="s">
        <v>840</v>
      </c>
      <c r="O19" s="192"/>
    </row>
    <row r="20" spans="2:32">
      <c r="R20" s="29" t="s">
        <v>1172</v>
      </c>
      <c r="U20" s="1133">
        <v>124</v>
      </c>
    </row>
    <row r="21" spans="2:32">
      <c r="C21" s="391" t="s">
        <v>34</v>
      </c>
      <c r="R21" s="1658" t="s">
        <v>932</v>
      </c>
      <c r="S21" s="1659"/>
      <c r="T21" s="1023" t="s">
        <v>1050</v>
      </c>
      <c r="U21" s="895" t="s">
        <v>1051</v>
      </c>
      <c r="AF21" s="1186" t="s">
        <v>1571</v>
      </c>
    </row>
    <row r="22" spans="2:32">
      <c r="D22" s="29" t="s">
        <v>25</v>
      </c>
      <c r="H22" s="1568">
        <f>R22*(1+$T$25)</f>
        <v>633000</v>
      </c>
      <c r="I22" s="1568"/>
      <c r="J22" s="29" t="s">
        <v>27</v>
      </c>
      <c r="L22" s="533" t="s">
        <v>614</v>
      </c>
      <c r="M22" s="534">
        <f>H22/$U$20</f>
        <v>5104.8387096774195</v>
      </c>
      <c r="N22" s="375" t="s">
        <v>35</v>
      </c>
      <c r="R22" s="1662">
        <v>633000</v>
      </c>
      <c r="S22" s="1663"/>
      <c r="T22" s="896">
        <v>30</v>
      </c>
      <c r="U22" s="897">
        <v>0.01</v>
      </c>
      <c r="AF22" s="29">
        <v>629290</v>
      </c>
    </row>
    <row r="23" spans="2:32">
      <c r="D23" s="29" t="s">
        <v>24</v>
      </c>
      <c r="H23" s="1568">
        <f>R23*(1+$T$25)</f>
        <v>112500</v>
      </c>
      <c r="I23" s="1568"/>
      <c r="J23" s="29" t="s">
        <v>27</v>
      </c>
      <c r="L23" s="533" t="s">
        <v>614</v>
      </c>
      <c r="M23" s="534">
        <f>H23/$U$20</f>
        <v>907.25806451612902</v>
      </c>
      <c r="N23" s="375" t="s">
        <v>35</v>
      </c>
      <c r="R23" s="1662">
        <v>112500</v>
      </c>
      <c r="S23" s="1663"/>
      <c r="T23" s="896">
        <v>15</v>
      </c>
      <c r="U23" s="897">
        <v>0.02</v>
      </c>
      <c r="AF23" s="29">
        <v>113914</v>
      </c>
    </row>
    <row r="24" spans="2:32">
      <c r="D24" s="29" t="s">
        <v>26</v>
      </c>
      <c r="H24" s="1568">
        <f>R24*(1+$T$25)</f>
        <v>330000</v>
      </c>
      <c r="I24" s="1568"/>
      <c r="J24" s="29" t="s">
        <v>27</v>
      </c>
      <c r="L24" s="533" t="s">
        <v>614</v>
      </c>
      <c r="M24" s="534">
        <f>H24/$U$20</f>
        <v>2661.2903225806454</v>
      </c>
      <c r="N24" s="375" t="s">
        <v>35</v>
      </c>
      <c r="R24" s="1662">
        <v>330000</v>
      </c>
      <c r="S24" s="1663"/>
      <c r="T24" s="896">
        <v>10</v>
      </c>
      <c r="U24" s="897">
        <v>0.03</v>
      </c>
      <c r="AF24" s="29">
        <v>333065</v>
      </c>
    </row>
    <row r="25" spans="2:32">
      <c r="D25" s="29" t="s">
        <v>32</v>
      </c>
      <c r="H25" s="1568">
        <f>SUM(H22:H24)</f>
        <v>1075500</v>
      </c>
      <c r="I25" s="1568"/>
      <c r="J25" s="29" t="s">
        <v>27</v>
      </c>
      <c r="L25" s="533" t="s">
        <v>614</v>
      </c>
      <c r="M25" s="534">
        <f>H25/$U$20</f>
        <v>8673.3870967741932</v>
      </c>
      <c r="N25" s="375" t="s">
        <v>35</v>
      </c>
      <c r="R25" s="898" t="s">
        <v>1052</v>
      </c>
      <c r="S25" s="906"/>
      <c r="T25" s="899"/>
      <c r="U25" s="900"/>
    </row>
    <row r="26" spans="2:32">
      <c r="R26" s="1024" t="s">
        <v>1053</v>
      </c>
      <c r="T26" s="1025">
        <v>0.05</v>
      </c>
      <c r="U26" s="1026"/>
    </row>
    <row r="27" spans="2:32" ht="17.399999999999999">
      <c r="B27" s="142"/>
      <c r="C27" s="887"/>
      <c r="D27" s="887"/>
      <c r="E27" s="887"/>
      <c r="F27" s="887"/>
      <c r="G27" s="887"/>
      <c r="H27" s="887"/>
      <c r="I27" s="887"/>
      <c r="J27" s="887"/>
      <c r="K27" s="887"/>
      <c r="L27" s="887"/>
      <c r="M27" s="887"/>
      <c r="N27" s="1660" t="s">
        <v>1610</v>
      </c>
      <c r="O27" s="1661"/>
      <c r="R27" s="898" t="s">
        <v>94</v>
      </c>
      <c r="S27" s="906"/>
      <c r="T27" s="1027">
        <v>2E-3</v>
      </c>
      <c r="U27" s="900"/>
    </row>
    <row r="28" spans="2:32" ht="17.399999999999999">
      <c r="B28" s="142"/>
      <c r="C28" s="1496" t="s">
        <v>812</v>
      </c>
      <c r="D28" s="887"/>
      <c r="E28" s="887"/>
      <c r="F28" s="887"/>
      <c r="G28" s="887"/>
      <c r="H28" s="887"/>
      <c r="I28" s="887"/>
      <c r="J28" s="887"/>
      <c r="K28" s="887"/>
      <c r="L28" s="887"/>
      <c r="M28" s="887"/>
      <c r="N28" s="1497"/>
      <c r="O28" s="1498"/>
    </row>
    <row r="29" spans="2:32" ht="17.399999999999999">
      <c r="B29" s="142"/>
      <c r="C29" s="887"/>
      <c r="D29" s="887" t="s">
        <v>25</v>
      </c>
      <c r="E29" s="887"/>
      <c r="F29" s="887"/>
      <c r="G29" s="887"/>
      <c r="H29" s="887"/>
      <c r="I29" s="887"/>
      <c r="J29" s="887"/>
      <c r="K29" s="887"/>
      <c r="L29" s="887"/>
      <c r="M29" s="887"/>
      <c r="N29" s="1499"/>
      <c r="O29" s="888"/>
      <c r="Q29" s="391" t="s">
        <v>812</v>
      </c>
      <c r="V29" s="860"/>
      <c r="W29" s="901" t="s">
        <v>736</v>
      </c>
      <c r="X29" s="901" t="s">
        <v>443</v>
      </c>
      <c r="Y29" s="862" t="s">
        <v>247</v>
      </c>
      <c r="Z29" s="901" t="s">
        <v>63</v>
      </c>
      <c r="AA29" s="860" t="s">
        <v>28</v>
      </c>
      <c r="AC29" s="189" t="s">
        <v>8</v>
      </c>
    </row>
    <row r="30" spans="2:32" ht="17.399999999999999">
      <c r="B30" s="142"/>
      <c r="C30" s="887"/>
      <c r="D30" s="887" t="s">
        <v>24</v>
      </c>
      <c r="E30" s="887"/>
      <c r="F30" s="887"/>
      <c r="G30" s="887"/>
      <c r="H30" s="887"/>
      <c r="I30" s="887"/>
      <c r="J30" s="887"/>
      <c r="K30" s="887"/>
      <c r="L30" s="887"/>
      <c r="M30" s="887"/>
      <c r="N30" s="1499"/>
      <c r="O30" s="888"/>
      <c r="R30" s="29" t="s">
        <v>25</v>
      </c>
      <c r="V30" s="1568">
        <f>$H$22</f>
        <v>633000</v>
      </c>
      <c r="W30" s="1568"/>
      <c r="X30" s="861" t="s">
        <v>443</v>
      </c>
      <c r="Y30" s="29">
        <f>T22</f>
        <v>30</v>
      </c>
      <c r="Z30" s="29" t="s">
        <v>29</v>
      </c>
      <c r="AA30" s="532">
        <f>V30/Y30</f>
        <v>21100</v>
      </c>
      <c r="AC30" s="524">
        <f>1/Y30</f>
        <v>3.3333333333333333E-2</v>
      </c>
      <c r="AE30" s="864">
        <f>AA30</f>
        <v>21100</v>
      </c>
    </row>
    <row r="31" spans="2:32" ht="17.399999999999999">
      <c r="B31" s="142"/>
      <c r="C31" s="887"/>
      <c r="D31" s="887" t="s">
        <v>26</v>
      </c>
      <c r="E31" s="887"/>
      <c r="F31" s="887"/>
      <c r="G31" s="887"/>
      <c r="H31" s="887"/>
      <c r="I31" s="887"/>
      <c r="J31" s="887"/>
      <c r="K31" s="887"/>
      <c r="L31" s="887"/>
      <c r="M31" s="887"/>
      <c r="N31" s="1500"/>
      <c r="O31" s="1501"/>
      <c r="R31" s="29" t="s">
        <v>24</v>
      </c>
      <c r="V31" s="1568">
        <f>$H$23</f>
        <v>112500</v>
      </c>
      <c r="W31" s="1568"/>
      <c r="X31" s="861" t="s">
        <v>443</v>
      </c>
      <c r="Y31" s="29">
        <f>T23</f>
        <v>15</v>
      </c>
      <c r="Z31" s="29" t="s">
        <v>29</v>
      </c>
      <c r="AA31" s="532">
        <f>V31/Y31</f>
        <v>7500</v>
      </c>
      <c r="AC31" s="524">
        <f>1/Y31</f>
        <v>6.6666666666666666E-2</v>
      </c>
      <c r="AE31" s="864">
        <f t="shared" ref="AE31:AE47" si="0">AA31</f>
        <v>7500</v>
      </c>
    </row>
    <row r="32" spans="2:32" ht="17.399999999999999">
      <c r="B32" s="142"/>
      <c r="C32" s="887"/>
      <c r="D32" s="887" t="s">
        <v>32</v>
      </c>
      <c r="E32" s="887"/>
      <c r="F32" s="887"/>
      <c r="G32" s="887"/>
      <c r="H32" s="887"/>
      <c r="I32" s="887"/>
      <c r="J32" s="887"/>
      <c r="K32" s="887"/>
      <c r="L32" s="887"/>
      <c r="M32" s="887"/>
      <c r="N32" s="1502"/>
      <c r="O32" s="1503"/>
      <c r="R32" s="29" t="s">
        <v>26</v>
      </c>
      <c r="V32" s="1568">
        <f>$H$24</f>
        <v>330000</v>
      </c>
      <c r="W32" s="1568"/>
      <c r="X32" s="861" t="s">
        <v>443</v>
      </c>
      <c r="Y32" s="29">
        <f>T24</f>
        <v>10</v>
      </c>
      <c r="Z32" s="29" t="s">
        <v>29</v>
      </c>
      <c r="AA32" s="532">
        <f>V32/Y32</f>
        <v>33000</v>
      </c>
      <c r="AC32" s="524">
        <f>1/Y32</f>
        <v>0.1</v>
      </c>
      <c r="AE32" s="864">
        <f t="shared" si="0"/>
        <v>33000</v>
      </c>
    </row>
    <row r="33" spans="2:31" ht="17.399999999999999">
      <c r="B33" s="142"/>
      <c r="C33" s="887"/>
      <c r="D33" s="887"/>
      <c r="E33" s="887"/>
      <c r="F33" s="887"/>
      <c r="G33" s="887"/>
      <c r="H33" s="887"/>
      <c r="I33" s="887"/>
      <c r="J33" s="887"/>
      <c r="K33" s="887"/>
      <c r="L33" s="887"/>
      <c r="M33" s="887"/>
      <c r="N33" s="1497"/>
      <c r="O33" s="1498"/>
      <c r="R33" s="29" t="s">
        <v>32</v>
      </c>
      <c r="V33" s="1568">
        <f>SUM(V30:V32)</f>
        <v>1075500</v>
      </c>
      <c r="W33" s="1568"/>
      <c r="X33" s="861" t="s">
        <v>443</v>
      </c>
      <c r="Y33" s="29">
        <f>V33/AA33</f>
        <v>17.459415584415584</v>
      </c>
      <c r="Z33" s="29" t="s">
        <v>29</v>
      </c>
      <c r="AA33" s="532">
        <f>SUM(AA30:AA32)</f>
        <v>61600</v>
      </c>
      <c r="AC33" s="524">
        <f>1/Y33</f>
        <v>5.7275685727568575E-2</v>
      </c>
      <c r="AE33" s="864">
        <f t="shared" si="0"/>
        <v>61600</v>
      </c>
    </row>
    <row r="34" spans="2:31" ht="17.399999999999999">
      <c r="B34" s="142"/>
      <c r="C34" s="1496" t="s">
        <v>843</v>
      </c>
      <c r="D34" s="887"/>
      <c r="E34" s="887"/>
      <c r="F34" s="887"/>
      <c r="G34" s="887"/>
      <c r="H34" s="887"/>
      <c r="I34" s="887"/>
      <c r="J34" s="887"/>
      <c r="K34" s="887"/>
      <c r="L34" s="887"/>
      <c r="M34" s="887"/>
      <c r="N34" s="1500"/>
      <c r="O34" s="1501"/>
      <c r="AE34" s="864"/>
    </row>
    <row r="35" spans="2:31" ht="17.399999999999999">
      <c r="B35" s="142"/>
      <c r="C35" s="887"/>
      <c r="D35" s="887" t="s">
        <v>32</v>
      </c>
      <c r="E35" s="887"/>
      <c r="F35" s="887"/>
      <c r="G35" s="887"/>
      <c r="H35" s="887"/>
      <c r="I35" s="887"/>
      <c r="J35" s="887"/>
      <c r="K35" s="887"/>
      <c r="L35" s="887"/>
      <c r="M35" s="887"/>
      <c r="N35" s="1502"/>
      <c r="O35" s="1503"/>
      <c r="Q35" s="391" t="s">
        <v>843</v>
      </c>
      <c r="V35" s="860"/>
      <c r="W35" s="901" t="s">
        <v>736</v>
      </c>
      <c r="X35" s="862" t="s">
        <v>1054</v>
      </c>
      <c r="Y35" s="901" t="s">
        <v>450</v>
      </c>
      <c r="Z35" s="901" t="s">
        <v>63</v>
      </c>
      <c r="AA35" s="902" t="s">
        <v>843</v>
      </c>
      <c r="AB35" s="860"/>
      <c r="AE35" s="864"/>
    </row>
    <row r="36" spans="2:31" ht="17.399999999999999">
      <c r="B36" s="142"/>
      <c r="C36" s="887"/>
      <c r="D36" s="887"/>
      <c r="E36" s="887"/>
      <c r="F36" s="887"/>
      <c r="G36" s="887"/>
      <c r="H36" s="887"/>
      <c r="I36" s="887"/>
      <c r="J36" s="887"/>
      <c r="K36" s="887"/>
      <c r="L36" s="887"/>
      <c r="M36" s="887"/>
      <c r="N36" s="1497"/>
      <c r="O36" s="1498"/>
      <c r="R36" s="29" t="s">
        <v>32</v>
      </c>
      <c r="V36" s="1568">
        <f>V33</f>
        <v>1075500</v>
      </c>
      <c r="W36" s="1568"/>
      <c r="X36" s="903" t="s">
        <v>1054</v>
      </c>
      <c r="Y36" s="904">
        <f>T26</f>
        <v>0.05</v>
      </c>
      <c r="Z36" s="861" t="s">
        <v>63</v>
      </c>
      <c r="AA36" s="532">
        <f>V36/2*Y36</f>
        <v>26887.5</v>
      </c>
      <c r="AB36" s="29" t="s">
        <v>30</v>
      </c>
      <c r="AE36" s="864">
        <f t="shared" si="0"/>
        <v>26887.5</v>
      </c>
    </row>
    <row r="37" spans="2:31" ht="17.399999999999999">
      <c r="B37" s="142"/>
      <c r="C37" s="1496" t="s">
        <v>31</v>
      </c>
      <c r="D37" s="887"/>
      <c r="E37" s="887"/>
      <c r="F37" s="887"/>
      <c r="G37" s="887"/>
      <c r="H37" s="887"/>
      <c r="I37" s="887"/>
      <c r="J37" s="887"/>
      <c r="K37" s="887"/>
      <c r="L37" s="887"/>
      <c r="M37" s="887"/>
      <c r="N37" s="1499"/>
      <c r="O37" s="888"/>
      <c r="AE37" s="864"/>
    </row>
    <row r="38" spans="2:31" ht="17.399999999999999">
      <c r="B38" s="142"/>
      <c r="C38" s="887"/>
      <c r="D38" s="887" t="s">
        <v>25</v>
      </c>
      <c r="E38" s="887"/>
      <c r="F38" s="887"/>
      <c r="G38" s="887"/>
      <c r="H38" s="887"/>
      <c r="I38" s="887"/>
      <c r="J38" s="887"/>
      <c r="K38" s="887"/>
      <c r="L38" s="887"/>
      <c r="M38" s="887"/>
      <c r="N38" s="1499"/>
      <c r="O38" s="888"/>
      <c r="Q38" s="391" t="s">
        <v>31</v>
      </c>
      <c r="V38" s="860"/>
      <c r="W38" s="901" t="s">
        <v>736</v>
      </c>
      <c r="X38" s="901" t="s">
        <v>267</v>
      </c>
      <c r="Y38" s="901" t="s">
        <v>403</v>
      </c>
      <c r="Z38" s="901" t="s">
        <v>63</v>
      </c>
      <c r="AA38" s="902" t="s">
        <v>33</v>
      </c>
      <c r="AB38" s="860"/>
      <c r="AC38" s="860"/>
      <c r="AE38" s="864"/>
    </row>
    <row r="39" spans="2:31" ht="17.399999999999999">
      <c r="B39" s="142"/>
      <c r="C39" s="887"/>
      <c r="D39" s="887" t="s">
        <v>24</v>
      </c>
      <c r="E39" s="887"/>
      <c r="F39" s="887"/>
      <c r="G39" s="887"/>
      <c r="H39" s="887"/>
      <c r="I39" s="887"/>
      <c r="J39" s="887"/>
      <c r="K39" s="887"/>
      <c r="L39" s="887"/>
      <c r="M39" s="887"/>
      <c r="N39" s="1499"/>
      <c r="O39" s="888"/>
      <c r="R39" s="29" t="s">
        <v>25</v>
      </c>
      <c r="V39" s="1568">
        <f>$H$22</f>
        <v>633000</v>
      </c>
      <c r="W39" s="1568"/>
      <c r="X39" s="861" t="s">
        <v>267</v>
      </c>
      <c r="Y39" s="863">
        <f>U22</f>
        <v>0.01</v>
      </c>
      <c r="Z39" s="861" t="s">
        <v>63</v>
      </c>
      <c r="AA39" s="532">
        <f>V39*Y39</f>
        <v>6330</v>
      </c>
      <c r="AB39" s="29" t="s">
        <v>30</v>
      </c>
      <c r="AE39" s="864">
        <f t="shared" si="0"/>
        <v>6330</v>
      </c>
    </row>
    <row r="40" spans="2:31" ht="17.399999999999999">
      <c r="B40" s="142"/>
      <c r="C40" s="887"/>
      <c r="D40" s="887" t="s">
        <v>26</v>
      </c>
      <c r="E40" s="887"/>
      <c r="F40" s="887"/>
      <c r="G40" s="887"/>
      <c r="H40" s="887"/>
      <c r="I40" s="887"/>
      <c r="J40" s="887"/>
      <c r="K40" s="887"/>
      <c r="L40" s="887"/>
      <c r="M40" s="887"/>
      <c r="N40" s="1500"/>
      <c r="O40" s="1501"/>
      <c r="R40" s="29" t="s">
        <v>24</v>
      </c>
      <c r="V40" s="1568">
        <f>$H$23</f>
        <v>112500</v>
      </c>
      <c r="W40" s="1568"/>
      <c r="X40" s="861" t="s">
        <v>267</v>
      </c>
      <c r="Y40" s="863">
        <f>U23</f>
        <v>0.02</v>
      </c>
      <c r="Z40" s="861" t="s">
        <v>63</v>
      </c>
      <c r="AA40" s="532">
        <f>V40*Y40</f>
        <v>2250</v>
      </c>
      <c r="AB40" s="29" t="s">
        <v>30</v>
      </c>
      <c r="AE40" s="864">
        <f t="shared" si="0"/>
        <v>2250</v>
      </c>
    </row>
    <row r="41" spans="2:31" ht="17.399999999999999">
      <c r="B41" s="142"/>
      <c r="C41" s="887"/>
      <c r="D41" s="887" t="s">
        <v>32</v>
      </c>
      <c r="E41" s="887"/>
      <c r="F41" s="887"/>
      <c r="G41" s="887"/>
      <c r="H41" s="887"/>
      <c r="I41" s="887"/>
      <c r="J41" s="887"/>
      <c r="K41" s="887"/>
      <c r="L41" s="887"/>
      <c r="M41" s="887"/>
      <c r="N41" s="1502"/>
      <c r="O41" s="1503"/>
      <c r="R41" s="29" t="s">
        <v>26</v>
      </c>
      <c r="V41" s="1568">
        <f>$H$24</f>
        <v>330000</v>
      </c>
      <c r="W41" s="1568"/>
      <c r="X41" s="861" t="s">
        <v>267</v>
      </c>
      <c r="Y41" s="863">
        <f>U24</f>
        <v>0.03</v>
      </c>
      <c r="Z41" s="861" t="s">
        <v>63</v>
      </c>
      <c r="AA41" s="532">
        <f>V41*Y41</f>
        <v>9900</v>
      </c>
      <c r="AB41" s="29" t="s">
        <v>30</v>
      </c>
      <c r="AE41" s="864">
        <f t="shared" si="0"/>
        <v>9900</v>
      </c>
    </row>
    <row r="42" spans="2:31" ht="17.399999999999999">
      <c r="B42" s="142"/>
      <c r="C42" s="887"/>
      <c r="D42" s="887"/>
      <c r="E42" s="887"/>
      <c r="F42" s="887"/>
      <c r="G42" s="887"/>
      <c r="H42" s="887"/>
      <c r="I42" s="887"/>
      <c r="J42" s="887"/>
      <c r="K42" s="887"/>
      <c r="L42" s="887"/>
      <c r="M42" s="887"/>
      <c r="N42" s="1497"/>
      <c r="O42" s="1498"/>
      <c r="R42" s="29" t="s">
        <v>32</v>
      </c>
      <c r="V42" s="1568">
        <f>SUM(V39:W41)</f>
        <v>1075500</v>
      </c>
      <c r="W42" s="1568"/>
      <c r="AA42" s="532">
        <f>SUM(AA39:AA41)</f>
        <v>18480</v>
      </c>
      <c r="AB42" s="29" t="s">
        <v>30</v>
      </c>
      <c r="AE42" s="864">
        <f t="shared" si="0"/>
        <v>18480</v>
      </c>
    </row>
    <row r="43" spans="2:31" ht="17.399999999999999">
      <c r="B43" s="142"/>
      <c r="C43" s="1496" t="s">
        <v>94</v>
      </c>
      <c r="D43" s="887"/>
      <c r="E43" s="887"/>
      <c r="F43" s="887"/>
      <c r="G43" s="887"/>
      <c r="H43" s="887"/>
      <c r="I43" s="887"/>
      <c r="J43" s="887"/>
      <c r="K43" s="887"/>
      <c r="L43" s="887"/>
      <c r="M43" s="887"/>
      <c r="N43" s="1500"/>
      <c r="O43" s="1501"/>
      <c r="AE43" s="864"/>
    </row>
    <row r="44" spans="2:31" ht="17.399999999999999">
      <c r="B44" s="142"/>
      <c r="C44" s="887"/>
      <c r="D44" s="887" t="s">
        <v>32</v>
      </c>
      <c r="E44" s="887"/>
      <c r="F44" s="887"/>
      <c r="G44" s="887"/>
      <c r="H44" s="887"/>
      <c r="I44" s="887"/>
      <c r="J44" s="887"/>
      <c r="K44" s="887"/>
      <c r="L44" s="887"/>
      <c r="M44" s="887"/>
      <c r="N44" s="1502"/>
      <c r="O44" s="1503"/>
      <c r="Q44" s="391" t="s">
        <v>94</v>
      </c>
      <c r="V44" s="860"/>
      <c r="W44" s="901" t="s">
        <v>736</v>
      </c>
      <c r="X44" s="901" t="s">
        <v>267</v>
      </c>
      <c r="Y44" s="901" t="s">
        <v>403</v>
      </c>
      <c r="Z44" s="901" t="s">
        <v>63</v>
      </c>
      <c r="AA44" s="902" t="s">
        <v>1127</v>
      </c>
      <c r="AB44" s="860"/>
      <c r="AC44" s="860"/>
      <c r="AE44" s="864"/>
    </row>
    <row r="45" spans="2:31" ht="17.399999999999999">
      <c r="B45" s="142"/>
      <c r="C45" s="1504"/>
      <c r="D45" s="1504"/>
      <c r="E45" s="1504"/>
      <c r="F45" s="1504"/>
      <c r="G45" s="1504"/>
      <c r="H45" s="1504"/>
      <c r="I45" s="1504"/>
      <c r="J45" s="1504"/>
      <c r="K45" s="1504"/>
      <c r="L45" s="1504"/>
      <c r="M45" s="1504"/>
      <c r="N45" s="1024"/>
      <c r="O45" s="1026"/>
      <c r="R45" s="29" t="s">
        <v>32</v>
      </c>
      <c r="V45" s="1568">
        <f>H25</f>
        <v>1075500</v>
      </c>
      <c r="W45" s="1568"/>
      <c r="X45" s="861" t="s">
        <v>267</v>
      </c>
      <c r="Y45" s="905">
        <f>T27</f>
        <v>2E-3</v>
      </c>
      <c r="AA45" s="532">
        <f>V45*Y45</f>
        <v>2151</v>
      </c>
      <c r="AB45" s="29" t="s">
        <v>30</v>
      </c>
      <c r="AE45" s="864">
        <f t="shared" si="0"/>
        <v>2151</v>
      </c>
    </row>
    <row r="46" spans="2:31" ht="17.399999999999999">
      <c r="B46" s="142"/>
      <c r="C46" s="1505" t="s">
        <v>1047</v>
      </c>
      <c r="D46" s="1506"/>
      <c r="E46" s="1506"/>
      <c r="F46" s="1506"/>
      <c r="G46" s="1506"/>
      <c r="H46" s="1506"/>
      <c r="I46" s="1506"/>
      <c r="J46" s="1506"/>
      <c r="K46" s="1506"/>
      <c r="L46" s="1506"/>
      <c r="M46" s="1506"/>
      <c r="N46" s="1502"/>
      <c r="O46" s="1503"/>
      <c r="AE46" s="864"/>
    </row>
    <row r="47" spans="2:31" ht="17.399999999999999">
      <c r="B47" s="142"/>
      <c r="C47" s="887"/>
      <c r="D47" s="887"/>
      <c r="E47" s="887"/>
      <c r="F47" s="887"/>
      <c r="G47" s="887"/>
      <c r="H47" s="887"/>
      <c r="I47" s="887"/>
      <c r="J47" s="887"/>
      <c r="K47" s="887"/>
      <c r="L47" s="887"/>
      <c r="M47" s="887"/>
      <c r="N47" s="887"/>
      <c r="O47" s="887"/>
      <c r="Q47" s="898" t="s">
        <v>1047</v>
      </c>
      <c r="R47" s="906"/>
      <c r="S47" s="906"/>
      <c r="T47" s="906"/>
      <c r="U47" s="906"/>
      <c r="V47" s="906"/>
      <c r="W47" s="906"/>
      <c r="X47" s="906"/>
      <c r="Y47" s="906"/>
      <c r="Z47" s="906"/>
      <c r="AA47" s="1493">
        <f>AA33+AA36+AA42+AA45</f>
        <v>109118.5</v>
      </c>
      <c r="AB47" s="906" t="s">
        <v>30</v>
      </c>
      <c r="AC47" s="900"/>
      <c r="AE47" s="864">
        <f t="shared" si="0"/>
        <v>109118.5</v>
      </c>
    </row>
    <row r="48" spans="2:31">
      <c r="AA48" s="29">
        <f>AA47/U20</f>
        <v>879.98790322580646</v>
      </c>
      <c r="AB48" s="98" t="s">
        <v>1566</v>
      </c>
    </row>
    <row r="49" spans="23:27">
      <c r="W49" s="193">
        <f>AA47</f>
        <v>109118.5</v>
      </c>
      <c r="X49" s="98" t="s">
        <v>1567</v>
      </c>
      <c r="Y49" s="1492">
        <f>H25</f>
        <v>1075500</v>
      </c>
      <c r="Z49" s="98" t="s">
        <v>63</v>
      </c>
      <c r="AA49" s="1361">
        <f>W49/Y49</f>
        <v>0.10145839144583914</v>
      </c>
    </row>
  </sheetData>
  <mergeCells count="19">
    <mergeCell ref="V31:W31"/>
    <mergeCell ref="V32:W32"/>
    <mergeCell ref="V33:W33"/>
    <mergeCell ref="V45:W45"/>
    <mergeCell ref="V42:W42"/>
    <mergeCell ref="V36:W36"/>
    <mergeCell ref="V39:W39"/>
    <mergeCell ref="V40:W40"/>
    <mergeCell ref="V41:W41"/>
    <mergeCell ref="V30:W30"/>
    <mergeCell ref="N27:O27"/>
    <mergeCell ref="R22:S22"/>
    <mergeCell ref="R23:S23"/>
    <mergeCell ref="R24:S24"/>
    <mergeCell ref="R21:S21"/>
    <mergeCell ref="H25:I25"/>
    <mergeCell ref="H24:I24"/>
    <mergeCell ref="H23:I23"/>
    <mergeCell ref="H22:I22"/>
  </mergeCells>
  <phoneticPr fontId="5" type="noConversion"/>
  <pageMargins left="0.78740157480314965" right="0.78740157480314965" top="0.78740157480314965" bottom="0.78740157480314965" header="0.31496062992125984" footer="0.39370078740157483"/>
  <pageSetup paperSize="9" firstPageNumber="2" orientation="portrait" useFirstPageNumber="1" horizontalDpi="4294967292" verticalDpi="300" r:id="rId1"/>
  <headerFooter alignWithMargins="0">
    <oddFooter>&amp;L&amp;9Kosten dauerhafter Produktionsmittel&amp;R&amp;9&amp;P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F49"/>
  <sheetViews>
    <sheetView showGridLines="0" topLeftCell="A28" workbookViewId="0"/>
  </sheetViews>
  <sheetFormatPr baseColWidth="10" defaultColWidth="11.44140625" defaultRowHeight="13.8"/>
  <cols>
    <col min="1" max="1" width="1" style="25" customWidth="1"/>
    <col min="2" max="2" width="1" style="29" customWidth="1"/>
    <col min="3" max="3" width="2.44140625" style="29" customWidth="1"/>
    <col min="4" max="16" width="6.5546875" style="29" customWidth="1"/>
    <col min="17" max="17" width="3.77734375" style="29" customWidth="1"/>
    <col min="18" max="26" width="6.5546875" style="29" customWidth="1"/>
    <col min="27" max="27" width="7.5546875" style="29" customWidth="1"/>
    <col min="28" max="30" width="6.5546875" style="29" customWidth="1"/>
    <col min="31" max="16384" width="11.44140625" style="29"/>
  </cols>
  <sheetData>
    <row r="1" spans="3:29">
      <c r="C1" s="436" t="s">
        <v>1570</v>
      </c>
      <c r="R1" s="1021"/>
      <c r="S1" s="1019"/>
    </row>
    <row r="2" spans="3:29">
      <c r="R2" s="1019"/>
      <c r="S2" s="1019"/>
      <c r="Z2"/>
      <c r="AA2"/>
      <c r="AB2"/>
      <c r="AC2"/>
    </row>
    <row r="3" spans="3:29">
      <c r="C3" s="391" t="s">
        <v>36</v>
      </c>
      <c r="F3" s="98" t="s">
        <v>1568</v>
      </c>
      <c r="M3" s="98"/>
      <c r="Z3"/>
      <c r="AA3"/>
      <c r="AB3"/>
      <c r="AC3"/>
    </row>
    <row r="4" spans="3:29">
      <c r="F4" s="98" t="s">
        <v>1569</v>
      </c>
      <c r="Z4"/>
      <c r="AA4"/>
      <c r="AB4"/>
      <c r="AC4"/>
    </row>
    <row r="5" spans="3:29">
      <c r="F5" s="98" t="s">
        <v>1244</v>
      </c>
      <c r="Z5"/>
      <c r="AA5"/>
      <c r="AB5"/>
      <c r="AC5"/>
    </row>
    <row r="6" spans="3:29">
      <c r="Z6"/>
      <c r="AA6"/>
      <c r="AB6"/>
      <c r="AC6"/>
    </row>
    <row r="7" spans="3:29" ht="12.75" customHeight="1">
      <c r="F7" s="551" t="s">
        <v>1087</v>
      </c>
      <c r="G7" s="860"/>
      <c r="H7" s="551"/>
      <c r="I7" s="860"/>
      <c r="J7" s="551" t="s">
        <v>1086</v>
      </c>
      <c r="K7" s="551"/>
      <c r="L7" s="551" t="s">
        <v>550</v>
      </c>
      <c r="M7" s="860"/>
      <c r="N7" s="551" t="s">
        <v>276</v>
      </c>
      <c r="O7" s="860"/>
      <c r="Z7"/>
      <c r="AA7"/>
      <c r="AB7"/>
      <c r="AC7"/>
    </row>
    <row r="8" spans="3:29" ht="12.75" customHeight="1">
      <c r="F8" s="192" t="s">
        <v>1064</v>
      </c>
      <c r="H8" s="192"/>
      <c r="J8" s="192" t="s">
        <v>1063</v>
      </c>
      <c r="L8" s="549">
        <v>2812.17</v>
      </c>
      <c r="M8" s="192" t="s">
        <v>1088</v>
      </c>
      <c r="N8" s="192">
        <v>21.97</v>
      </c>
      <c r="O8" s="192" t="s">
        <v>1088</v>
      </c>
      <c r="R8" s="1363"/>
      <c r="AA8"/>
      <c r="AB8"/>
      <c r="AC8"/>
    </row>
    <row r="9" spans="3:29" ht="12.75" customHeight="1">
      <c r="F9" s="192" t="s">
        <v>1066</v>
      </c>
      <c r="H9" s="192"/>
      <c r="J9" s="192" t="s">
        <v>1065</v>
      </c>
      <c r="L9" s="549">
        <v>56.07</v>
      </c>
      <c r="M9" s="192" t="s">
        <v>1088</v>
      </c>
      <c r="N9" s="192">
        <v>0.44</v>
      </c>
      <c r="O9" s="192" t="s">
        <v>1088</v>
      </c>
      <c r="AA9"/>
      <c r="AB9"/>
      <c r="AC9"/>
    </row>
    <row r="10" spans="3:29" ht="12.75" customHeight="1">
      <c r="F10" s="192" t="s">
        <v>1068</v>
      </c>
      <c r="H10" s="192"/>
      <c r="J10" s="192" t="s">
        <v>1067</v>
      </c>
      <c r="L10" s="549">
        <v>2756.1</v>
      </c>
      <c r="M10" s="192" t="s">
        <v>1088</v>
      </c>
      <c r="N10" s="192">
        <v>21.53</v>
      </c>
      <c r="O10" s="192" t="s">
        <v>1088</v>
      </c>
      <c r="R10" s="1363"/>
      <c r="AA10"/>
      <c r="AB10"/>
      <c r="AC10"/>
    </row>
    <row r="11" spans="3:29" ht="12.75" customHeight="1">
      <c r="F11" s="192" t="s">
        <v>1070</v>
      </c>
      <c r="H11" s="192"/>
      <c r="J11" s="192" t="s">
        <v>1069</v>
      </c>
      <c r="L11" s="549">
        <v>2261.9699999999998</v>
      </c>
      <c r="M11" s="192" t="s">
        <v>1088</v>
      </c>
      <c r="N11" s="192">
        <v>17.670000000000002</v>
      </c>
      <c r="O11" s="192" t="s">
        <v>1088</v>
      </c>
      <c r="R11" s="1363"/>
      <c r="AA11"/>
      <c r="AB11"/>
      <c r="AC11"/>
    </row>
    <row r="12" spans="3:29" ht="12.75" customHeight="1">
      <c r="F12" s="192" t="s">
        <v>1072</v>
      </c>
      <c r="H12" s="192"/>
      <c r="J12" s="192" t="s">
        <v>1071</v>
      </c>
      <c r="L12" s="549">
        <v>494.13</v>
      </c>
      <c r="M12" s="192" t="s">
        <v>1088</v>
      </c>
      <c r="N12" s="192">
        <v>3.86</v>
      </c>
      <c r="O12" s="192" t="s">
        <v>1088</v>
      </c>
      <c r="AA12"/>
      <c r="AB12"/>
      <c r="AC12"/>
    </row>
    <row r="13" spans="3:29" ht="12.75" customHeight="1">
      <c r="F13" s="192" t="s">
        <v>1074</v>
      </c>
      <c r="H13" s="192"/>
      <c r="J13" s="192" t="s">
        <v>1073</v>
      </c>
      <c r="L13" s="549">
        <v>1533.86</v>
      </c>
      <c r="M13" s="192" t="s">
        <v>1088</v>
      </c>
      <c r="N13" s="192">
        <v>11.98</v>
      </c>
      <c r="O13" s="192" t="s">
        <v>1088</v>
      </c>
      <c r="R13" s="1363"/>
      <c r="AA13"/>
      <c r="AB13"/>
      <c r="AC13"/>
    </row>
    <row r="14" spans="3:29" ht="12.75" customHeight="1">
      <c r="F14" s="192" t="s">
        <v>277</v>
      </c>
      <c r="H14" s="192"/>
      <c r="J14" s="192" t="s">
        <v>1075</v>
      </c>
      <c r="L14" s="549">
        <v>132</v>
      </c>
      <c r="M14" s="192" t="s">
        <v>1088</v>
      </c>
      <c r="N14" s="192">
        <v>1.03</v>
      </c>
      <c r="O14" s="192" t="s">
        <v>1088</v>
      </c>
      <c r="AA14"/>
      <c r="AB14"/>
      <c r="AC14"/>
    </row>
    <row r="15" spans="3:29" ht="12.75" customHeight="1">
      <c r="F15" s="192" t="s">
        <v>1077</v>
      </c>
      <c r="H15" s="192"/>
      <c r="J15" s="192" t="s">
        <v>1076</v>
      </c>
      <c r="L15" s="549">
        <v>11033.23</v>
      </c>
      <c r="M15" s="192" t="s">
        <v>1089</v>
      </c>
      <c r="N15" s="192">
        <v>86.2</v>
      </c>
      <c r="O15" s="192" t="s">
        <v>1089</v>
      </c>
      <c r="R15" s="1363"/>
      <c r="AA15"/>
      <c r="AB15"/>
      <c r="AC15"/>
    </row>
    <row r="16" spans="3:29" ht="12.75" customHeight="1">
      <c r="F16" s="192" t="s">
        <v>1079</v>
      </c>
      <c r="H16" s="192"/>
      <c r="J16" s="192" t="s">
        <v>1078</v>
      </c>
      <c r="L16" s="549">
        <v>13276.74</v>
      </c>
      <c r="M16" s="192" t="s">
        <v>1089</v>
      </c>
      <c r="N16" s="192">
        <v>103.72</v>
      </c>
      <c r="O16" s="192" t="s">
        <v>1089</v>
      </c>
      <c r="R16" s="1363"/>
      <c r="AA16"/>
      <c r="AB16"/>
      <c r="AC16"/>
    </row>
    <row r="17" spans="2:32" ht="12.75" customHeight="1">
      <c r="F17" s="192" t="s">
        <v>1081</v>
      </c>
      <c r="H17" s="192"/>
      <c r="J17" s="192" t="s">
        <v>1080</v>
      </c>
      <c r="L17" s="549">
        <v>2572.61</v>
      </c>
      <c r="M17" s="192" t="s">
        <v>1089</v>
      </c>
      <c r="N17" s="192">
        <v>20.100000000000001</v>
      </c>
      <c r="O17" s="192" t="s">
        <v>1089</v>
      </c>
      <c r="R17" s="1363"/>
      <c r="AA17"/>
      <c r="AB17"/>
      <c r="AC17"/>
    </row>
    <row r="18" spans="2:32" ht="12.75" customHeight="1">
      <c r="F18" s="192" t="s">
        <v>1083</v>
      </c>
      <c r="H18" s="192"/>
      <c r="J18" s="192" t="s">
        <v>1082</v>
      </c>
      <c r="L18" s="549">
        <v>1887.45</v>
      </c>
      <c r="M18" s="192" t="s">
        <v>1089</v>
      </c>
      <c r="N18" s="192">
        <v>14.75</v>
      </c>
      <c r="O18" s="192" t="s">
        <v>1089</v>
      </c>
      <c r="R18" s="1363"/>
      <c r="AA18"/>
      <c r="AB18"/>
      <c r="AC18"/>
    </row>
    <row r="19" spans="2:32" ht="12.75" customHeight="1">
      <c r="F19" s="192" t="s">
        <v>1085</v>
      </c>
      <c r="H19" s="192"/>
      <c r="J19" s="192" t="s">
        <v>1084</v>
      </c>
      <c r="L19" s="192">
        <v>6</v>
      </c>
      <c r="M19" s="192" t="s">
        <v>1090</v>
      </c>
      <c r="N19" s="180" t="s">
        <v>840</v>
      </c>
      <c r="O19" s="192"/>
      <c r="AA19"/>
      <c r="AB19"/>
      <c r="AC19"/>
    </row>
    <row r="20" spans="2:32">
      <c r="R20" s="29" t="s">
        <v>1172</v>
      </c>
      <c r="U20" s="1133">
        <v>128</v>
      </c>
    </row>
    <row r="21" spans="2:32">
      <c r="C21" s="391" t="s">
        <v>34</v>
      </c>
      <c r="R21" s="1658" t="s">
        <v>932</v>
      </c>
      <c r="S21" s="1659"/>
      <c r="T21" s="1023" t="s">
        <v>1050</v>
      </c>
      <c r="U21" s="895" t="s">
        <v>1051</v>
      </c>
      <c r="AE21" s="1186"/>
      <c r="AF21" s="98" t="s">
        <v>1571</v>
      </c>
    </row>
    <row r="22" spans="2:32">
      <c r="D22" s="29" t="s">
        <v>25</v>
      </c>
      <c r="H22" s="1568">
        <f>R22*(1+$T$25)</f>
        <v>720000</v>
      </c>
      <c r="I22" s="1568"/>
      <c r="J22" s="29" t="s">
        <v>27</v>
      </c>
      <c r="L22" s="533" t="s">
        <v>614</v>
      </c>
      <c r="M22" s="534">
        <f>H22/$U$20</f>
        <v>5625</v>
      </c>
      <c r="N22" s="375" t="s">
        <v>35</v>
      </c>
      <c r="R22" s="1662">
        <f>24000*30</f>
        <v>720000</v>
      </c>
      <c r="S22" s="1663"/>
      <c r="T22" s="896">
        <v>30</v>
      </c>
      <c r="U22" s="897">
        <v>0.01</v>
      </c>
      <c r="AF22" s="29">
        <v>722615</v>
      </c>
    </row>
    <row r="23" spans="2:32">
      <c r="D23" s="29" t="s">
        <v>24</v>
      </c>
      <c r="H23" s="1568">
        <f>R23*(1+$T$25)</f>
        <v>126000</v>
      </c>
      <c r="I23" s="1568"/>
      <c r="J23" s="29" t="s">
        <v>27</v>
      </c>
      <c r="L23" s="533" t="s">
        <v>614</v>
      </c>
      <c r="M23" s="534">
        <f>H23/$U$20</f>
        <v>984.375</v>
      </c>
      <c r="N23" s="375" t="s">
        <v>35</v>
      </c>
      <c r="R23" s="1664">
        <v>126000</v>
      </c>
      <c r="S23" s="1665"/>
      <c r="T23" s="896">
        <v>15</v>
      </c>
      <c r="U23" s="897">
        <v>0.02</v>
      </c>
      <c r="AF23" s="29">
        <v>126174</v>
      </c>
    </row>
    <row r="24" spans="2:32">
      <c r="D24" s="29" t="s">
        <v>26</v>
      </c>
      <c r="H24" s="1568">
        <f>R24*(1+$T$25)</f>
        <v>367000</v>
      </c>
      <c r="I24" s="1568"/>
      <c r="J24" s="29" t="s">
        <v>27</v>
      </c>
      <c r="L24" s="533" t="s">
        <v>614</v>
      </c>
      <c r="M24" s="534">
        <f>H24/$U$20</f>
        <v>2867.1875</v>
      </c>
      <c r="N24" s="375" t="s">
        <v>35</v>
      </c>
      <c r="R24" s="1666">
        <v>367000</v>
      </c>
      <c r="S24" s="1667"/>
      <c r="T24" s="896">
        <v>10</v>
      </c>
      <c r="U24" s="897">
        <v>0.03</v>
      </c>
      <c r="AF24" s="29">
        <v>366909</v>
      </c>
    </row>
    <row r="25" spans="2:32">
      <c r="D25" s="29" t="s">
        <v>32</v>
      </c>
      <c r="H25" s="1568">
        <f>SUM(H22:H24)</f>
        <v>1213000</v>
      </c>
      <c r="I25" s="1568"/>
      <c r="J25" s="29" t="s">
        <v>27</v>
      </c>
      <c r="L25" s="533" t="s">
        <v>614</v>
      </c>
      <c r="M25" s="534">
        <f>H25/$U$20</f>
        <v>9476.5625</v>
      </c>
      <c r="N25" s="375" t="s">
        <v>35</v>
      </c>
      <c r="R25" s="898" t="s">
        <v>1052</v>
      </c>
      <c r="S25" s="906"/>
      <c r="T25" s="899"/>
      <c r="U25" s="900"/>
    </row>
    <row r="26" spans="2:32">
      <c r="R26" s="1024" t="s">
        <v>1053</v>
      </c>
      <c r="T26" s="1025">
        <v>0.05</v>
      </c>
      <c r="U26" s="1026"/>
    </row>
    <row r="27" spans="2:32" ht="17.399999999999999">
      <c r="B27" s="142"/>
      <c r="C27" s="887"/>
      <c r="D27" s="887"/>
      <c r="E27" s="887"/>
      <c r="F27" s="887"/>
      <c r="G27" s="887"/>
      <c r="H27" s="887"/>
      <c r="I27" s="887"/>
      <c r="J27" s="887"/>
      <c r="K27" s="887"/>
      <c r="L27" s="887"/>
      <c r="M27" s="887"/>
      <c r="N27" s="1660" t="s">
        <v>1610</v>
      </c>
      <c r="O27" s="1661"/>
      <c r="R27" s="898" t="s">
        <v>94</v>
      </c>
      <c r="S27" s="906"/>
      <c r="T27" s="1027">
        <v>2E-3</v>
      </c>
      <c r="U27" s="900"/>
    </row>
    <row r="28" spans="2:32" ht="17.399999999999999">
      <c r="B28" s="142"/>
      <c r="C28" s="1496" t="s">
        <v>812</v>
      </c>
      <c r="D28" s="887"/>
      <c r="E28" s="887"/>
      <c r="F28" s="887"/>
      <c r="G28" s="887"/>
      <c r="H28" s="887"/>
      <c r="I28" s="887"/>
      <c r="J28" s="887"/>
      <c r="K28" s="887"/>
      <c r="L28" s="887"/>
      <c r="M28" s="887"/>
      <c r="N28" s="1497"/>
      <c r="O28" s="1498"/>
    </row>
    <row r="29" spans="2:32" ht="17.399999999999999">
      <c r="B29" s="142"/>
      <c r="C29" s="887"/>
      <c r="D29" s="887" t="s">
        <v>25</v>
      </c>
      <c r="E29" s="887"/>
      <c r="F29" s="887"/>
      <c r="G29" s="887"/>
      <c r="H29" s="887"/>
      <c r="I29" s="887"/>
      <c r="J29" s="887"/>
      <c r="K29" s="887"/>
      <c r="L29" s="887"/>
      <c r="M29" s="887"/>
      <c r="N29" s="1499"/>
      <c r="O29" s="888"/>
      <c r="Q29" s="391" t="s">
        <v>812</v>
      </c>
      <c r="V29" s="860"/>
      <c r="W29" s="901" t="s">
        <v>736</v>
      </c>
      <c r="X29" s="901" t="s">
        <v>443</v>
      </c>
      <c r="Y29" s="862" t="s">
        <v>247</v>
      </c>
      <c r="Z29" s="901" t="s">
        <v>63</v>
      </c>
      <c r="AA29" s="860" t="s">
        <v>28</v>
      </c>
      <c r="AC29" s="189" t="s">
        <v>8</v>
      </c>
    </row>
    <row r="30" spans="2:32" ht="17.399999999999999">
      <c r="B30" s="142"/>
      <c r="C30" s="887"/>
      <c r="D30" s="887" t="s">
        <v>24</v>
      </c>
      <c r="E30" s="887"/>
      <c r="F30" s="887"/>
      <c r="G30" s="887"/>
      <c r="H30" s="887"/>
      <c r="I30" s="887"/>
      <c r="J30" s="887"/>
      <c r="K30" s="887"/>
      <c r="L30" s="887"/>
      <c r="M30" s="887"/>
      <c r="N30" s="1499"/>
      <c r="O30" s="888"/>
      <c r="R30" s="29" t="s">
        <v>25</v>
      </c>
      <c r="V30" s="1568">
        <f>$H$22</f>
        <v>720000</v>
      </c>
      <c r="W30" s="1568"/>
      <c r="X30" s="861" t="s">
        <v>443</v>
      </c>
      <c r="Y30" s="29">
        <f>T22</f>
        <v>30</v>
      </c>
      <c r="Z30" s="29" t="s">
        <v>29</v>
      </c>
      <c r="AA30" s="1338">
        <f>V30/Y30</f>
        <v>24000</v>
      </c>
      <c r="AC30" s="524">
        <f>1/Y30</f>
        <v>3.3333333333333333E-2</v>
      </c>
      <c r="AE30" s="864">
        <f>AA30</f>
        <v>24000</v>
      </c>
    </row>
    <row r="31" spans="2:32" ht="17.399999999999999">
      <c r="B31" s="142"/>
      <c r="C31" s="887"/>
      <c r="D31" s="887" t="s">
        <v>26</v>
      </c>
      <c r="E31" s="887"/>
      <c r="F31" s="887"/>
      <c r="G31" s="887"/>
      <c r="H31" s="887"/>
      <c r="I31" s="887"/>
      <c r="J31" s="887"/>
      <c r="K31" s="887"/>
      <c r="L31" s="887"/>
      <c r="M31" s="887"/>
      <c r="N31" s="1500"/>
      <c r="O31" s="1501"/>
      <c r="R31" s="29" t="s">
        <v>24</v>
      </c>
      <c r="V31" s="1568">
        <f>$H$23</f>
        <v>126000</v>
      </c>
      <c r="W31" s="1568"/>
      <c r="X31" s="861" t="s">
        <v>443</v>
      </c>
      <c r="Y31" s="29">
        <f>T23</f>
        <v>15</v>
      </c>
      <c r="Z31" s="29" t="s">
        <v>29</v>
      </c>
      <c r="AA31" s="1338">
        <f>V31/Y31</f>
        <v>8400</v>
      </c>
      <c r="AC31" s="524">
        <f>1/Y31</f>
        <v>6.6666666666666666E-2</v>
      </c>
      <c r="AE31" s="864">
        <f t="shared" ref="AE31:AE47" si="0">AA31</f>
        <v>8400</v>
      </c>
    </row>
    <row r="32" spans="2:32" ht="17.399999999999999">
      <c r="B32" s="142"/>
      <c r="C32" s="887"/>
      <c r="D32" s="887" t="s">
        <v>32</v>
      </c>
      <c r="E32" s="887"/>
      <c r="F32" s="887"/>
      <c r="G32" s="887"/>
      <c r="H32" s="887"/>
      <c r="I32" s="887"/>
      <c r="J32" s="887"/>
      <c r="K32" s="887"/>
      <c r="L32" s="887"/>
      <c r="M32" s="887"/>
      <c r="N32" s="1502"/>
      <c r="O32" s="1503"/>
      <c r="R32" s="29" t="s">
        <v>26</v>
      </c>
      <c r="V32" s="1568">
        <f>$H$24</f>
        <v>367000</v>
      </c>
      <c r="W32" s="1568"/>
      <c r="X32" s="861" t="s">
        <v>443</v>
      </c>
      <c r="Y32" s="29">
        <f>T24</f>
        <v>10</v>
      </c>
      <c r="Z32" s="29" t="s">
        <v>29</v>
      </c>
      <c r="AA32" s="1338">
        <f>V32/Y32</f>
        <v>36700</v>
      </c>
      <c r="AC32" s="524">
        <f>1/Y32</f>
        <v>0.1</v>
      </c>
      <c r="AE32" s="864">
        <f t="shared" si="0"/>
        <v>36700</v>
      </c>
    </row>
    <row r="33" spans="2:31" ht="17.399999999999999">
      <c r="B33" s="142"/>
      <c r="C33" s="887"/>
      <c r="D33" s="887"/>
      <c r="E33" s="887"/>
      <c r="F33" s="887"/>
      <c r="G33" s="887"/>
      <c r="H33" s="887"/>
      <c r="I33" s="887"/>
      <c r="J33" s="887"/>
      <c r="K33" s="887"/>
      <c r="L33" s="887"/>
      <c r="M33" s="887"/>
      <c r="N33" s="1497"/>
      <c r="O33" s="1498"/>
      <c r="R33" s="29" t="s">
        <v>32</v>
      </c>
      <c r="V33" s="1568">
        <f>SUM(V30:V32)</f>
        <v>1213000</v>
      </c>
      <c r="W33" s="1568"/>
      <c r="X33" s="861" t="s">
        <v>443</v>
      </c>
      <c r="Y33" s="29">
        <f>V33/AA33</f>
        <v>17.554269175108537</v>
      </c>
      <c r="Z33" s="29" t="s">
        <v>29</v>
      </c>
      <c r="AA33" s="1338">
        <f>SUM(AA30:AA32)</f>
        <v>69100</v>
      </c>
      <c r="AC33" s="524">
        <f>1/Y33</f>
        <v>5.6966199505358618E-2</v>
      </c>
      <c r="AE33" s="864">
        <f t="shared" si="0"/>
        <v>69100</v>
      </c>
    </row>
    <row r="34" spans="2:31" ht="17.399999999999999">
      <c r="B34" s="142"/>
      <c r="C34" s="1496" t="s">
        <v>843</v>
      </c>
      <c r="D34" s="887"/>
      <c r="E34" s="887"/>
      <c r="F34" s="887"/>
      <c r="G34" s="887"/>
      <c r="H34" s="887"/>
      <c r="I34" s="887"/>
      <c r="J34" s="887"/>
      <c r="K34" s="887"/>
      <c r="L34" s="887"/>
      <c r="M34" s="887"/>
      <c r="N34" s="1500"/>
      <c r="O34" s="1501"/>
      <c r="AE34" s="864"/>
    </row>
    <row r="35" spans="2:31" ht="17.399999999999999">
      <c r="B35" s="142"/>
      <c r="C35" s="887"/>
      <c r="D35" s="887" t="s">
        <v>32</v>
      </c>
      <c r="E35" s="887"/>
      <c r="F35" s="887"/>
      <c r="G35" s="887"/>
      <c r="H35" s="887"/>
      <c r="I35" s="887"/>
      <c r="J35" s="887"/>
      <c r="K35" s="887"/>
      <c r="L35" s="887"/>
      <c r="M35" s="887"/>
      <c r="N35" s="1502"/>
      <c r="O35" s="1503"/>
      <c r="Q35" s="391" t="s">
        <v>843</v>
      </c>
      <c r="V35" s="860"/>
      <c r="W35" s="901" t="s">
        <v>736</v>
      </c>
      <c r="X35" s="862" t="s">
        <v>1054</v>
      </c>
      <c r="Y35" s="901" t="s">
        <v>450</v>
      </c>
      <c r="Z35" s="901" t="s">
        <v>63</v>
      </c>
      <c r="AA35" s="902" t="s">
        <v>843</v>
      </c>
      <c r="AB35" s="860"/>
      <c r="AE35" s="864"/>
    </row>
    <row r="36" spans="2:31" ht="17.399999999999999">
      <c r="B36" s="142"/>
      <c r="C36" s="887"/>
      <c r="D36" s="887"/>
      <c r="E36" s="887"/>
      <c r="F36" s="887"/>
      <c r="G36" s="887"/>
      <c r="H36" s="887"/>
      <c r="I36" s="887"/>
      <c r="J36" s="887"/>
      <c r="K36" s="887"/>
      <c r="L36" s="887"/>
      <c r="M36" s="887"/>
      <c r="N36" s="1497"/>
      <c r="O36" s="1498"/>
      <c r="R36" s="29" t="s">
        <v>32</v>
      </c>
      <c r="V36" s="1568">
        <f>V33</f>
        <v>1213000</v>
      </c>
      <c r="W36" s="1568"/>
      <c r="X36" s="903" t="s">
        <v>1054</v>
      </c>
      <c r="Y36" s="904">
        <f>T26</f>
        <v>0.05</v>
      </c>
      <c r="Z36" s="861" t="s">
        <v>63</v>
      </c>
      <c r="AA36" s="1338">
        <f>V36/2*Y36</f>
        <v>30325</v>
      </c>
      <c r="AB36" s="29" t="s">
        <v>30</v>
      </c>
      <c r="AE36" s="864">
        <f t="shared" si="0"/>
        <v>30325</v>
      </c>
    </row>
    <row r="37" spans="2:31" ht="17.399999999999999">
      <c r="B37" s="142"/>
      <c r="C37" s="1496" t="s">
        <v>31</v>
      </c>
      <c r="D37" s="887"/>
      <c r="E37" s="887"/>
      <c r="F37" s="887"/>
      <c r="G37" s="887"/>
      <c r="H37" s="887"/>
      <c r="I37" s="887"/>
      <c r="J37" s="887"/>
      <c r="K37" s="887"/>
      <c r="L37" s="887"/>
      <c r="M37" s="887"/>
      <c r="N37" s="1499"/>
      <c r="O37" s="888"/>
      <c r="AE37" s="864"/>
    </row>
    <row r="38" spans="2:31" ht="17.399999999999999">
      <c r="B38" s="142"/>
      <c r="C38" s="887"/>
      <c r="D38" s="887" t="s">
        <v>25</v>
      </c>
      <c r="E38" s="887"/>
      <c r="F38" s="887"/>
      <c r="G38" s="887"/>
      <c r="H38" s="887"/>
      <c r="I38" s="887"/>
      <c r="J38" s="887"/>
      <c r="K38" s="887"/>
      <c r="L38" s="887"/>
      <c r="M38" s="887"/>
      <c r="N38" s="1499"/>
      <c r="O38" s="888"/>
      <c r="Q38" s="391" t="s">
        <v>31</v>
      </c>
      <c r="V38" s="860"/>
      <c r="W38" s="901" t="s">
        <v>736</v>
      </c>
      <c r="X38" s="901" t="s">
        <v>267</v>
      </c>
      <c r="Y38" s="901" t="s">
        <v>403</v>
      </c>
      <c r="Z38" s="901" t="s">
        <v>63</v>
      </c>
      <c r="AA38" s="902" t="s">
        <v>33</v>
      </c>
      <c r="AB38" s="860"/>
      <c r="AC38" s="860"/>
      <c r="AE38" s="864"/>
    </row>
    <row r="39" spans="2:31" ht="17.399999999999999">
      <c r="B39" s="142"/>
      <c r="C39" s="887"/>
      <c r="D39" s="887" t="s">
        <v>24</v>
      </c>
      <c r="E39" s="887"/>
      <c r="F39" s="887"/>
      <c r="G39" s="887"/>
      <c r="H39" s="887"/>
      <c r="I39" s="887"/>
      <c r="J39" s="887"/>
      <c r="K39" s="887"/>
      <c r="L39" s="887"/>
      <c r="M39" s="887"/>
      <c r="N39" s="1499"/>
      <c r="O39" s="888"/>
      <c r="R39" s="29" t="s">
        <v>25</v>
      </c>
      <c r="V39" s="1568">
        <f>$H$22</f>
        <v>720000</v>
      </c>
      <c r="W39" s="1568"/>
      <c r="X39" s="861" t="s">
        <v>267</v>
      </c>
      <c r="Y39" s="863">
        <f>U22</f>
        <v>0.01</v>
      </c>
      <c r="Z39" s="861" t="s">
        <v>63</v>
      </c>
      <c r="AA39" s="1338">
        <f>V39*Y39</f>
        <v>7200</v>
      </c>
      <c r="AB39" s="29" t="s">
        <v>30</v>
      </c>
      <c r="AE39" s="864">
        <f t="shared" si="0"/>
        <v>7200</v>
      </c>
    </row>
    <row r="40" spans="2:31" ht="17.399999999999999">
      <c r="B40" s="142"/>
      <c r="C40" s="887"/>
      <c r="D40" s="887" t="s">
        <v>26</v>
      </c>
      <c r="E40" s="887"/>
      <c r="F40" s="887"/>
      <c r="G40" s="887"/>
      <c r="H40" s="887"/>
      <c r="I40" s="887"/>
      <c r="J40" s="887"/>
      <c r="K40" s="887"/>
      <c r="L40" s="887"/>
      <c r="M40" s="887"/>
      <c r="N40" s="1500"/>
      <c r="O40" s="1501"/>
      <c r="R40" s="29" t="s">
        <v>24</v>
      </c>
      <c r="V40" s="1568">
        <f>$H$23</f>
        <v>126000</v>
      </c>
      <c r="W40" s="1568"/>
      <c r="X40" s="861" t="s">
        <v>267</v>
      </c>
      <c r="Y40" s="863">
        <f>U23</f>
        <v>0.02</v>
      </c>
      <c r="Z40" s="861" t="s">
        <v>63</v>
      </c>
      <c r="AA40" s="1338">
        <f>V40*Y40</f>
        <v>2520</v>
      </c>
      <c r="AB40" s="29" t="s">
        <v>30</v>
      </c>
      <c r="AE40" s="864">
        <f t="shared" si="0"/>
        <v>2520</v>
      </c>
    </row>
    <row r="41" spans="2:31" ht="17.399999999999999">
      <c r="B41" s="142"/>
      <c r="C41" s="887"/>
      <c r="D41" s="887" t="s">
        <v>32</v>
      </c>
      <c r="E41" s="887"/>
      <c r="F41" s="887"/>
      <c r="G41" s="887"/>
      <c r="H41" s="887"/>
      <c r="I41" s="887"/>
      <c r="J41" s="887"/>
      <c r="K41" s="887"/>
      <c r="L41" s="887"/>
      <c r="M41" s="887"/>
      <c r="N41" s="1502"/>
      <c r="O41" s="1503"/>
      <c r="R41" s="29" t="s">
        <v>26</v>
      </c>
      <c r="V41" s="1568">
        <f>$H$24</f>
        <v>367000</v>
      </c>
      <c r="W41" s="1568"/>
      <c r="X41" s="861" t="s">
        <v>267</v>
      </c>
      <c r="Y41" s="863">
        <f>U24</f>
        <v>0.03</v>
      </c>
      <c r="Z41" s="861" t="s">
        <v>63</v>
      </c>
      <c r="AA41" s="1338">
        <f>V41*Y41</f>
        <v>11010</v>
      </c>
      <c r="AB41" s="29" t="s">
        <v>30</v>
      </c>
      <c r="AE41" s="864">
        <f t="shared" si="0"/>
        <v>11010</v>
      </c>
    </row>
    <row r="42" spans="2:31" ht="17.399999999999999">
      <c r="B42" s="142"/>
      <c r="C42" s="887"/>
      <c r="D42" s="887"/>
      <c r="E42" s="887"/>
      <c r="F42" s="887"/>
      <c r="G42" s="887"/>
      <c r="H42" s="887"/>
      <c r="I42" s="887"/>
      <c r="J42" s="887"/>
      <c r="K42" s="887"/>
      <c r="L42" s="887"/>
      <c r="M42" s="887"/>
      <c r="N42" s="1497"/>
      <c r="O42" s="1498"/>
      <c r="R42" s="29" t="s">
        <v>32</v>
      </c>
      <c r="V42" s="1568">
        <f>SUM(V39:W41)</f>
        <v>1213000</v>
      </c>
      <c r="W42" s="1568"/>
      <c r="AA42" s="1338">
        <f>SUM(AA39:AA41)</f>
        <v>20730</v>
      </c>
      <c r="AB42" s="29" t="s">
        <v>30</v>
      </c>
      <c r="AE42" s="864">
        <f t="shared" si="0"/>
        <v>20730</v>
      </c>
    </row>
    <row r="43" spans="2:31" ht="17.399999999999999">
      <c r="B43" s="142"/>
      <c r="C43" s="1496" t="s">
        <v>94</v>
      </c>
      <c r="D43" s="887"/>
      <c r="E43" s="887"/>
      <c r="F43" s="887"/>
      <c r="G43" s="887"/>
      <c r="H43" s="887"/>
      <c r="I43" s="887"/>
      <c r="J43" s="887"/>
      <c r="K43" s="887"/>
      <c r="L43" s="887"/>
      <c r="M43" s="887"/>
      <c r="N43" s="1500"/>
      <c r="O43" s="1501"/>
      <c r="AE43" s="864"/>
    </row>
    <row r="44" spans="2:31" ht="17.399999999999999">
      <c r="B44" s="142"/>
      <c r="C44" s="887"/>
      <c r="D44" s="887" t="s">
        <v>32</v>
      </c>
      <c r="E44" s="887"/>
      <c r="F44" s="887"/>
      <c r="G44" s="887"/>
      <c r="H44" s="887"/>
      <c r="I44" s="887"/>
      <c r="J44" s="887"/>
      <c r="K44" s="887"/>
      <c r="L44" s="887"/>
      <c r="M44" s="887"/>
      <c r="N44" s="1502"/>
      <c r="O44" s="1503"/>
      <c r="Q44" s="391" t="s">
        <v>94</v>
      </c>
      <c r="V44" s="860"/>
      <c r="W44" s="901" t="s">
        <v>736</v>
      </c>
      <c r="X44" s="901" t="s">
        <v>267</v>
      </c>
      <c r="Y44" s="901" t="s">
        <v>403</v>
      </c>
      <c r="Z44" s="901" t="s">
        <v>63</v>
      </c>
      <c r="AA44" s="902" t="s">
        <v>1127</v>
      </c>
      <c r="AB44" s="860"/>
      <c r="AC44" s="860"/>
      <c r="AE44" s="864"/>
    </row>
    <row r="45" spans="2:31" ht="17.399999999999999">
      <c r="B45" s="142"/>
      <c r="C45" s="1504"/>
      <c r="D45" s="1504"/>
      <c r="E45" s="1504"/>
      <c r="F45" s="1504"/>
      <c r="G45" s="1504"/>
      <c r="H45" s="1504"/>
      <c r="I45" s="1504"/>
      <c r="J45" s="1504"/>
      <c r="K45" s="1504"/>
      <c r="L45" s="1504"/>
      <c r="M45" s="1504"/>
      <c r="N45" s="1024"/>
      <c r="O45" s="1026"/>
      <c r="R45" s="29" t="s">
        <v>32</v>
      </c>
      <c r="V45" s="1568">
        <f>H25</f>
        <v>1213000</v>
      </c>
      <c r="W45" s="1568"/>
      <c r="X45" s="861" t="s">
        <v>267</v>
      </c>
      <c r="Y45" s="905">
        <f>T27</f>
        <v>2E-3</v>
      </c>
      <c r="AA45" s="1338">
        <f>V45*Y45</f>
        <v>2426</v>
      </c>
      <c r="AB45" s="29" t="s">
        <v>30</v>
      </c>
      <c r="AE45" s="864">
        <f t="shared" si="0"/>
        <v>2426</v>
      </c>
    </row>
    <row r="46" spans="2:31" ht="17.399999999999999">
      <c r="B46" s="142"/>
      <c r="C46" s="1505" t="s">
        <v>1047</v>
      </c>
      <c r="D46" s="1506"/>
      <c r="E46" s="1506"/>
      <c r="F46" s="1506"/>
      <c r="G46" s="1506"/>
      <c r="H46" s="1506"/>
      <c r="I46" s="1506"/>
      <c r="J46" s="1506"/>
      <c r="K46" s="1506"/>
      <c r="L46" s="1506"/>
      <c r="M46" s="1506"/>
      <c r="N46" s="1502"/>
      <c r="O46" s="1503"/>
      <c r="AE46" s="864"/>
    </row>
    <row r="47" spans="2:31" ht="17.399999999999999">
      <c r="B47" s="142"/>
      <c r="C47" s="887"/>
      <c r="D47" s="887"/>
      <c r="E47" s="887"/>
      <c r="F47" s="887"/>
      <c r="G47" s="887"/>
      <c r="H47" s="887"/>
      <c r="I47" s="887"/>
      <c r="J47" s="887"/>
      <c r="K47" s="887"/>
      <c r="L47" s="887"/>
      <c r="M47" s="887"/>
      <c r="N47" s="887"/>
      <c r="O47" s="887"/>
      <c r="Q47" s="898" t="s">
        <v>1047</v>
      </c>
      <c r="R47" s="906"/>
      <c r="S47" s="906"/>
      <c r="T47" s="906"/>
      <c r="U47" s="906"/>
      <c r="V47" s="906"/>
      <c r="W47" s="906"/>
      <c r="X47" s="906"/>
      <c r="Y47" s="906"/>
      <c r="Z47" s="906"/>
      <c r="AA47" s="907">
        <f>AA33+AA36+AA42+AA45</f>
        <v>122581</v>
      </c>
      <c r="AB47" s="906" t="s">
        <v>30</v>
      </c>
      <c r="AC47" s="900"/>
      <c r="AE47" s="864">
        <f t="shared" si="0"/>
        <v>122581</v>
      </c>
    </row>
    <row r="48" spans="2:31">
      <c r="AA48" s="29">
        <f>AA47/U20</f>
        <v>957.6640625</v>
      </c>
      <c r="AB48" s="98" t="s">
        <v>1566</v>
      </c>
    </row>
    <row r="49" spans="23:27">
      <c r="W49" s="193">
        <f>AA47</f>
        <v>122581</v>
      </c>
      <c r="X49" s="98" t="s">
        <v>1567</v>
      </c>
      <c r="Y49" s="1492">
        <f>H25</f>
        <v>1213000</v>
      </c>
      <c r="Z49" s="98" t="s">
        <v>63</v>
      </c>
      <c r="AA49" s="1362">
        <f>W49/Y49</f>
        <v>0.1010560593569662</v>
      </c>
    </row>
  </sheetData>
  <mergeCells count="19">
    <mergeCell ref="V36:W36"/>
    <mergeCell ref="R21:S21"/>
    <mergeCell ref="H22:I22"/>
    <mergeCell ref="R22:S22"/>
    <mergeCell ref="H23:I23"/>
    <mergeCell ref="R23:S23"/>
    <mergeCell ref="H24:I24"/>
    <mergeCell ref="R24:S24"/>
    <mergeCell ref="H25:I25"/>
    <mergeCell ref="V30:W30"/>
    <mergeCell ref="V31:W31"/>
    <mergeCell ref="V32:W32"/>
    <mergeCell ref="V33:W33"/>
    <mergeCell ref="N27:O27"/>
    <mergeCell ref="V39:W39"/>
    <mergeCell ref="V40:W40"/>
    <mergeCell ref="V41:W41"/>
    <mergeCell ref="V42:W42"/>
    <mergeCell ref="V45:W45"/>
  </mergeCells>
  <pageMargins left="0.78740157480314965" right="0.78740157480314965" top="0.78740157480314965" bottom="0.78740157480314965" header="0.31496062992125984" footer="0.39370078740157483"/>
  <pageSetup paperSize="9" firstPageNumber="2" orientation="portrait" useFirstPageNumber="1" horizontalDpi="4294967292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 transitionEntry="1" codeName="Tabelle13">
    <pageSetUpPr fitToPage="1"/>
  </sheetPr>
  <dimension ref="B1:U76"/>
  <sheetViews>
    <sheetView showGridLines="0" workbookViewId="0"/>
  </sheetViews>
  <sheetFormatPr baseColWidth="10" defaultColWidth="11.44140625" defaultRowHeight="13.2"/>
  <cols>
    <col min="1" max="1" width="2" style="238" customWidth="1"/>
    <col min="2" max="2" width="5.21875" style="238" customWidth="1"/>
    <col min="3" max="3" width="5.5546875" style="238" bestFit="1" customWidth="1"/>
    <col min="4" max="7" width="5.44140625" style="238" customWidth="1"/>
    <col min="8" max="8" width="3.44140625" style="238" customWidth="1"/>
    <col min="9" max="9" width="2.5546875" style="238" customWidth="1"/>
    <col min="10" max="10" width="5.44140625" style="238" bestFit="1" customWidth="1"/>
    <col min="11" max="20" width="6.77734375" style="238" customWidth="1"/>
    <col min="21" max="21" width="5.21875" style="238" customWidth="1"/>
    <col min="22" max="16384" width="11.44140625" style="238"/>
  </cols>
  <sheetData>
    <row r="1" spans="2:21" ht="13.8">
      <c r="B1" s="237" t="s">
        <v>231</v>
      </c>
    </row>
    <row r="2" spans="2:21" ht="13.8">
      <c r="B2" s="237" t="s">
        <v>232</v>
      </c>
      <c r="D2" s="239"/>
      <c r="E2" s="239"/>
      <c r="F2" s="239"/>
      <c r="I2" s="240" t="s">
        <v>233</v>
      </c>
      <c r="J2" s="239"/>
      <c r="R2" s="239"/>
      <c r="S2" s="239"/>
      <c r="T2" s="239"/>
      <c r="U2" s="239"/>
    </row>
    <row r="3" spans="2:21" ht="13.8">
      <c r="J3" s="237"/>
      <c r="K3" s="239"/>
      <c r="L3" s="239"/>
      <c r="M3" s="239"/>
      <c r="O3" s="239"/>
      <c r="P3" s="239"/>
      <c r="Q3" s="239"/>
      <c r="R3" s="239"/>
      <c r="S3" s="239"/>
      <c r="T3" s="239"/>
      <c r="U3" s="239"/>
    </row>
    <row r="4" spans="2:21">
      <c r="B4" s="241" t="s">
        <v>234</v>
      </c>
      <c r="C4" s="242"/>
      <c r="D4" s="243">
        <v>10000</v>
      </c>
      <c r="F4" s="241" t="s">
        <v>235</v>
      </c>
      <c r="G4" s="244">
        <f>SUM(C10:C60)/(D6+1)</f>
        <v>6818.9677423012827</v>
      </c>
      <c r="K4" s="245" t="s">
        <v>730</v>
      </c>
      <c r="L4" s="246"/>
      <c r="M4" s="246"/>
      <c r="N4" s="246"/>
      <c r="O4" s="246"/>
      <c r="P4" s="246"/>
      <c r="Q4" s="246"/>
      <c r="R4" s="246"/>
      <c r="S4" s="246"/>
      <c r="T4" s="247"/>
    </row>
    <row r="5" spans="2:21">
      <c r="B5" s="248" t="s">
        <v>450</v>
      </c>
      <c r="C5" s="249"/>
      <c r="D5" s="250">
        <v>0.05</v>
      </c>
      <c r="F5" s="251" t="s">
        <v>236</v>
      </c>
      <c r="G5" s="252">
        <f>G4/D4</f>
        <v>0.68189677423012829</v>
      </c>
      <c r="J5" s="253">
        <f>G5</f>
        <v>0.68189677423012829</v>
      </c>
      <c r="K5" s="254">
        <v>5</v>
      </c>
      <c r="L5" s="255">
        <v>10</v>
      </c>
      <c r="M5" s="255">
        <v>15</v>
      </c>
      <c r="N5" s="255">
        <v>20</v>
      </c>
      <c r="O5" s="255">
        <v>25</v>
      </c>
      <c r="P5" s="255">
        <v>30</v>
      </c>
      <c r="Q5" s="255">
        <v>35</v>
      </c>
      <c r="R5" s="255">
        <v>40</v>
      </c>
      <c r="S5" s="255">
        <v>45</v>
      </c>
      <c r="T5" s="256">
        <v>50</v>
      </c>
    </row>
    <row r="6" spans="2:21">
      <c r="B6" s="251" t="s">
        <v>237</v>
      </c>
      <c r="C6" s="257"/>
      <c r="D6" s="258">
        <v>50</v>
      </c>
      <c r="I6" s="1565" t="s">
        <v>1173</v>
      </c>
      <c r="J6" s="259">
        <v>0.02</v>
      </c>
      <c r="K6" s="260">
        <f t="dataTable" ref="K6:T15" dt2D="1" dtr="0" r1="D6" r2="D5"/>
        <v>0.50659975434675864</v>
      </c>
      <c r="L6" s="261">
        <v>0.51484217569620194</v>
      </c>
      <c r="M6" s="261">
        <v>0.52306901173019327</v>
      </c>
      <c r="N6" s="261">
        <v>0.53127229168049439</v>
      </c>
      <c r="O6" s="261">
        <v>0.53944415468243823</v>
      </c>
      <c r="P6" s="261">
        <v>0.54757688516465919</v>
      </c>
      <c r="Q6" s="261">
        <v>0.55566294677257599</v>
      </c>
      <c r="R6" s="261">
        <v>0.56369501450475612</v>
      </c>
      <c r="S6" s="261">
        <v>0.5716660047718235</v>
      </c>
      <c r="T6" s="262">
        <v>0.57956910312238075</v>
      </c>
      <c r="U6" s="263"/>
    </row>
    <row r="7" spans="2:21">
      <c r="I7" s="1566"/>
      <c r="J7" s="264">
        <f>J6+1%</f>
        <v>0.03</v>
      </c>
      <c r="K7" s="265">
        <v>0.509849205571556</v>
      </c>
      <c r="L7" s="266">
        <v>0.52213656379271511</v>
      </c>
      <c r="M7" s="266">
        <v>0.53437230611316777</v>
      </c>
      <c r="N7" s="266">
        <v>0.54653039990029006</v>
      </c>
      <c r="O7" s="266">
        <v>0.55858561022845532</v>
      </c>
      <c r="P7" s="266">
        <v>0.57051374151352452</v>
      </c>
      <c r="Q7" s="266">
        <v>0.58229185642220582</v>
      </c>
      <c r="R7" s="266">
        <v>0.59389846798253243</v>
      </c>
      <c r="S7" s="266">
        <v>0.60531370178550414</v>
      </c>
      <c r="T7" s="267">
        <v>0.61651942619854627</v>
      </c>
      <c r="U7" s="263"/>
    </row>
    <row r="8" spans="2:21">
      <c r="B8" s="268" t="s">
        <v>238</v>
      </c>
      <c r="C8" s="269" t="s">
        <v>1129</v>
      </c>
      <c r="D8" s="270" t="s">
        <v>239</v>
      </c>
      <c r="E8" s="270" t="s">
        <v>478</v>
      </c>
      <c r="F8" s="269" t="s">
        <v>240</v>
      </c>
      <c r="G8" s="271" t="s">
        <v>241</v>
      </c>
      <c r="I8" s="1566"/>
      <c r="J8" s="264">
        <f t="shared" ref="J8:J15" si="0">J7+1%</f>
        <v>0.04</v>
      </c>
      <c r="K8" s="265">
        <v>0.51306486443820654</v>
      </c>
      <c r="L8" s="266">
        <v>0.5293396438667386</v>
      </c>
      <c r="M8" s="266">
        <v>0.54549453994468444</v>
      </c>
      <c r="N8" s="266">
        <v>0.56147024591973538</v>
      </c>
      <c r="O8" s="266">
        <v>0.57721064390515953</v>
      </c>
      <c r="P8" s="266">
        <v>0.59266368871761288</v>
      </c>
      <c r="Q8" s="266">
        <v>0.60778214089522231</v>
      </c>
      <c r="R8" s="266">
        <v>0.62252412986395633</v>
      </c>
      <c r="S8" s="266">
        <v>0.63685353814184642</v>
      </c>
      <c r="T8" s="267">
        <v>0.65074020709660607</v>
      </c>
      <c r="U8" s="263"/>
    </row>
    <row r="9" spans="2:21">
      <c r="B9" s="272" t="s">
        <v>242</v>
      </c>
      <c r="C9" s="273" t="s">
        <v>1130</v>
      </c>
      <c r="D9" s="273" t="s">
        <v>243</v>
      </c>
      <c r="E9" s="273" t="s">
        <v>479</v>
      </c>
      <c r="F9" s="273" t="s">
        <v>549</v>
      </c>
      <c r="G9" s="274" t="s">
        <v>549</v>
      </c>
      <c r="I9" s="1566"/>
      <c r="J9" s="264">
        <f t="shared" si="0"/>
        <v>0.05</v>
      </c>
      <c r="K9" s="265">
        <v>0.51624663547113592</v>
      </c>
      <c r="L9" s="266">
        <v>0.53644681755375834</v>
      </c>
      <c r="M9" s="266">
        <v>0.5564178926733323</v>
      </c>
      <c r="N9" s="266">
        <v>0.57604927982269194</v>
      </c>
      <c r="O9" s="266">
        <v>0.5952395634467238</v>
      </c>
      <c r="P9" s="266">
        <v>0.61389874348922457</v>
      </c>
      <c r="Q9" s="266">
        <v>0.63194986282207966</v>
      </c>
      <c r="R9" s="266">
        <v>0.64932997397141456</v>
      </c>
      <c r="S9" s="266">
        <v>0.66599046058995048</v>
      </c>
      <c r="T9" s="267">
        <v>0.68189677423012829</v>
      </c>
      <c r="U9" s="263"/>
    </row>
    <row r="10" spans="2:21">
      <c r="B10" s="275">
        <v>0</v>
      </c>
      <c r="C10" s="276">
        <f>D4</f>
        <v>10000</v>
      </c>
      <c r="D10" s="277"/>
      <c r="E10" s="277"/>
      <c r="F10" s="276"/>
      <c r="G10" s="278"/>
      <c r="I10" s="1566"/>
      <c r="J10" s="264">
        <f t="shared" si="0"/>
        <v>6.0000000000000005E-2</v>
      </c>
      <c r="K10" s="265">
        <v>0.51939445043318921</v>
      </c>
      <c r="L10" s="266">
        <v>0.54345391243005758</v>
      </c>
      <c r="M10" s="266">
        <v>0.56712652013509424</v>
      </c>
      <c r="N10" s="266">
        <v>0.59023106312462592</v>
      </c>
      <c r="O10" s="266">
        <v>0.61260766365823693</v>
      </c>
      <c r="P10" s="266">
        <v>0.63412222833409504</v>
      </c>
      <c r="Q10" s="266">
        <v>0.65466901124454402</v>
      </c>
      <c r="R10" s="266">
        <v>0.67417131578334166</v>
      </c>
      <c r="S10" s="266">
        <v>0.69258054799637792</v>
      </c>
      <c r="T10" s="267">
        <v>0.70987396035729067</v>
      </c>
      <c r="U10" s="263"/>
    </row>
    <row r="11" spans="2:21">
      <c r="B11" s="275">
        <f t="shared" ref="B11:B42" si="1">B10+1</f>
        <v>1</v>
      </c>
      <c r="C11" s="276">
        <f t="shared" ref="C11:C42" si="2">IF(C10-F11&lt;0.001,0,C10-F11)</f>
        <v>9952.2326451426361</v>
      </c>
      <c r="D11" s="277">
        <f t="shared" ref="D11:D42" si="3">IF(B11&gt;$D$6,0,PMT($D$5,$D$6,-$D$4))</f>
        <v>547.76735485736469</v>
      </c>
      <c r="E11" s="277">
        <f t="shared" ref="E11:E42" si="4">C10*$D$5</f>
        <v>500</v>
      </c>
      <c r="F11" s="276">
        <f t="shared" ref="F11:F42" si="5">D11-E11</f>
        <v>47.767354857364694</v>
      </c>
      <c r="G11" s="278">
        <f>G10+F10</f>
        <v>0</v>
      </c>
      <c r="I11" s="1566"/>
      <c r="J11" s="264">
        <f t="shared" si="0"/>
        <v>7.0000000000000007E-2</v>
      </c>
      <c r="K11" s="265">
        <v>0.52250826715921506</v>
      </c>
      <c r="L11" s="266">
        <v>0.55035717827746378</v>
      </c>
      <c r="M11" s="266">
        <v>0.57760658081705152</v>
      </c>
      <c r="N11" s="266">
        <v>0.60398538426198189</v>
      </c>
      <c r="O11" s="266">
        <v>0.62926534643771492</v>
      </c>
      <c r="P11" s="266">
        <v>0.65326825130568411</v>
      </c>
      <c r="Q11" s="266">
        <v>0.67586848718853809</v>
      </c>
      <c r="R11" s="266">
        <v>0.69699148255902876</v>
      </c>
      <c r="S11" s="266">
        <v>0.71660891141833272</v>
      </c>
      <c r="T11" s="267">
        <v>0.73473178626901581</v>
      </c>
      <c r="U11" s="263"/>
    </row>
    <row r="12" spans="2:21">
      <c r="B12" s="275">
        <f t="shared" si="1"/>
        <v>2</v>
      </c>
      <c r="C12" s="276">
        <f t="shared" si="2"/>
        <v>9902.0769225424028</v>
      </c>
      <c r="D12" s="277">
        <f t="shared" si="3"/>
        <v>547.76735485736469</v>
      </c>
      <c r="E12" s="277">
        <f t="shared" si="4"/>
        <v>497.61163225713182</v>
      </c>
      <c r="F12" s="276">
        <f t="shared" si="5"/>
        <v>50.155722600232878</v>
      </c>
      <c r="G12" s="278">
        <f t="shared" ref="G12:G43" si="6">IF(ROUND(G11+F11,2)=$D$4,0,G11+F11)</f>
        <v>47.767354857364694</v>
      </c>
      <c r="I12" s="1566"/>
      <c r="J12" s="264">
        <f t="shared" si="0"/>
        <v>0.08</v>
      </c>
      <c r="K12" s="265">
        <v>0.52558806840454786</v>
      </c>
      <c r="L12" s="266">
        <v>0.55715328064858449</v>
      </c>
      <c r="M12" s="266">
        <v>0.58784622971898481</v>
      </c>
      <c r="N12" s="266">
        <v>0.61728820027560272</v>
      </c>
      <c r="O12" s="266">
        <v>0.64517763283615537</v>
      </c>
      <c r="P12" s="266">
        <v>0.67129959742668088</v>
      </c>
      <c r="Q12" s="266">
        <v>0.69552578459159609</v>
      </c>
      <c r="R12" s="266">
        <v>0.71780684756811319</v>
      </c>
      <c r="S12" s="266">
        <v>0.73815972916146844</v>
      </c>
      <c r="T12" s="267">
        <v>0.75665267354921184</v>
      </c>
      <c r="U12" s="263"/>
    </row>
    <row r="13" spans="2:21">
      <c r="B13" s="275">
        <f t="shared" si="1"/>
        <v>3</v>
      </c>
      <c r="C13" s="276">
        <f t="shared" si="2"/>
        <v>9849.413413812159</v>
      </c>
      <c r="D13" s="277">
        <f t="shared" si="3"/>
        <v>547.76735485736469</v>
      </c>
      <c r="E13" s="277">
        <f t="shared" si="4"/>
        <v>495.10384612712016</v>
      </c>
      <c r="F13" s="276">
        <f t="shared" si="5"/>
        <v>52.66350873024453</v>
      </c>
      <c r="G13" s="278">
        <f t="shared" si="6"/>
        <v>97.923077457597572</v>
      </c>
      <c r="I13" s="1566"/>
      <c r="J13" s="264">
        <f t="shared" si="0"/>
        <v>0.09</v>
      </c>
      <c r="K13" s="265">
        <v>0.5286338607106017</v>
      </c>
      <c r="L13" s="266">
        <v>0.56383929201044258</v>
      </c>
      <c r="M13" s="266">
        <v>0.5978355831629526</v>
      </c>
      <c r="N13" s="266">
        <v>0.63012142865851051</v>
      </c>
      <c r="O13" s="266">
        <v>0.66032318930098122</v>
      </c>
      <c r="P13" s="266">
        <v>0.68820449524254224</v>
      </c>
      <c r="Q13" s="266">
        <v>0.71365873814745928</v>
      </c>
      <c r="R13" s="266">
        <v>0.73668953085199895</v>
      </c>
      <c r="S13" s="266">
        <v>0.7573850997862468</v>
      </c>
      <c r="T13" s="267">
        <v>0.77589180917869438</v>
      </c>
      <c r="U13" s="263"/>
    </row>
    <row r="14" spans="2:21">
      <c r="B14" s="275">
        <f t="shared" si="1"/>
        <v>4</v>
      </c>
      <c r="C14" s="276">
        <f t="shared" si="2"/>
        <v>9794.1167296454023</v>
      </c>
      <c r="D14" s="277">
        <f t="shared" si="3"/>
        <v>547.76735485736469</v>
      </c>
      <c r="E14" s="277">
        <f t="shared" si="4"/>
        <v>492.47067069060796</v>
      </c>
      <c r="F14" s="276">
        <f t="shared" si="5"/>
        <v>55.296684166756734</v>
      </c>
      <c r="G14" s="278">
        <f t="shared" si="6"/>
        <v>150.5865861878421</v>
      </c>
      <c r="I14" s="1566"/>
      <c r="J14" s="264">
        <f t="shared" si="0"/>
        <v>9.9999999999999992E-2</v>
      </c>
      <c r="K14" s="265">
        <v>0.53164567328954493</v>
      </c>
      <c r="L14" s="266">
        <v>0.57041268075010554</v>
      </c>
      <c r="M14" s="266">
        <v>0.60756665831911472</v>
      </c>
      <c r="N14" s="266">
        <v>0.64247261688138824</v>
      </c>
      <c r="O14" s="266">
        <v>0.67469300182712355</v>
      </c>
      <c r="P14" s="266">
        <v>0.70399272502548926</v>
      </c>
      <c r="Q14" s="266">
        <v>0.73031657755455637</v>
      </c>
      <c r="R14" s="266">
        <v>0.75375038453043275</v>
      </c>
      <c r="S14" s="266">
        <v>0.77447721979724393</v>
      </c>
      <c r="T14" s="267">
        <v>0.79273700045215889</v>
      </c>
      <c r="U14" s="263"/>
    </row>
    <row r="15" spans="2:21">
      <c r="B15" s="275">
        <f t="shared" si="1"/>
        <v>5</v>
      </c>
      <c r="C15" s="276">
        <f t="shared" si="2"/>
        <v>9736.0552112703081</v>
      </c>
      <c r="D15" s="277">
        <f t="shared" si="3"/>
        <v>547.76735485736469</v>
      </c>
      <c r="E15" s="277">
        <f t="shared" si="4"/>
        <v>489.70583648227012</v>
      </c>
      <c r="F15" s="276">
        <f t="shared" si="5"/>
        <v>58.061518375094579</v>
      </c>
      <c r="G15" s="278">
        <f t="shared" si="6"/>
        <v>205.88327035459884</v>
      </c>
      <c r="I15" s="1567"/>
      <c r="J15" s="1035">
        <f t="shared" si="0"/>
        <v>0.10999999999999999</v>
      </c>
      <c r="K15" s="1036">
        <v>0.53462355692980668</v>
      </c>
      <c r="L15" s="1037">
        <v>0.57687129832636641</v>
      </c>
      <c r="M15" s="1037">
        <v>0.61703329144603825</v>
      </c>
      <c r="N15" s="1037">
        <v>0.65433451841681545</v>
      </c>
      <c r="O15" s="1037">
        <v>0.68828882914384293</v>
      </c>
      <c r="P15" s="1037">
        <v>0.71869148219701917</v>
      </c>
      <c r="Q15" s="1037">
        <v>0.74557124985077783</v>
      </c>
      <c r="R15" s="1037">
        <v>0.76912396193718202</v>
      </c>
      <c r="S15" s="1037">
        <v>0.78964612794156253</v>
      </c>
      <c r="T15" s="1038">
        <v>0.80747988717148989</v>
      </c>
      <c r="U15" s="263"/>
    </row>
    <row r="16" spans="2:21">
      <c r="B16" s="275">
        <f t="shared" si="1"/>
        <v>6</v>
      </c>
      <c r="C16" s="276">
        <f t="shared" si="2"/>
        <v>9675.0906169764585</v>
      </c>
      <c r="D16" s="277">
        <f t="shared" si="3"/>
        <v>547.76735485736469</v>
      </c>
      <c r="E16" s="277">
        <f t="shared" si="4"/>
        <v>486.80276056351545</v>
      </c>
      <c r="F16" s="276">
        <f t="shared" si="5"/>
        <v>60.964594293849245</v>
      </c>
      <c r="G16" s="278">
        <f t="shared" si="6"/>
        <v>263.94478872969341</v>
      </c>
      <c r="J16" s="1039">
        <f>J6</f>
        <v>0.02</v>
      </c>
      <c r="K16" s="1040"/>
      <c r="L16" s="1040"/>
      <c r="M16" s="1040"/>
      <c r="N16" s="1040"/>
      <c r="O16" s="1040"/>
      <c r="P16" s="1040"/>
      <c r="Q16" s="1040"/>
      <c r="R16" s="1040"/>
      <c r="S16" s="1040"/>
      <c r="T16" s="1041">
        <f>T6</f>
        <v>0.57956910312238075</v>
      </c>
    </row>
    <row r="17" spans="2:20">
      <c r="B17" s="275">
        <f t="shared" si="1"/>
        <v>7</v>
      </c>
      <c r="C17" s="276">
        <f t="shared" si="2"/>
        <v>9611.077792967917</v>
      </c>
      <c r="D17" s="277">
        <f t="shared" si="3"/>
        <v>547.76735485736469</v>
      </c>
      <c r="E17" s="277">
        <f t="shared" si="4"/>
        <v>483.75453084882292</v>
      </c>
      <c r="F17" s="276">
        <f t="shared" si="5"/>
        <v>64.01282400854177</v>
      </c>
      <c r="G17" s="278">
        <f t="shared" si="6"/>
        <v>324.90938302354266</v>
      </c>
      <c r="J17" s="1039">
        <f t="shared" ref="J17:J25" si="7">J7</f>
        <v>0.03</v>
      </c>
      <c r="K17" s="1040"/>
      <c r="L17" s="1040"/>
      <c r="M17" s="1040"/>
      <c r="N17" s="1040"/>
      <c r="O17" s="1040"/>
      <c r="P17" s="1040"/>
      <c r="Q17" s="1040"/>
      <c r="R17" s="1040"/>
      <c r="S17" s="1040"/>
      <c r="T17" s="1041">
        <f t="shared" ref="T17:T25" si="8">T7</f>
        <v>0.61651942619854627</v>
      </c>
    </row>
    <row r="18" spans="2:20">
      <c r="B18" s="275">
        <f t="shared" si="1"/>
        <v>8</v>
      </c>
      <c r="C18" s="276">
        <f t="shared" si="2"/>
        <v>9543.864327758949</v>
      </c>
      <c r="D18" s="277">
        <f t="shared" si="3"/>
        <v>547.76735485736469</v>
      </c>
      <c r="E18" s="277">
        <f t="shared" si="4"/>
        <v>480.55388964839585</v>
      </c>
      <c r="F18" s="276">
        <f t="shared" si="5"/>
        <v>67.213465208968842</v>
      </c>
      <c r="G18" s="278">
        <f t="shared" si="6"/>
        <v>388.92220703208443</v>
      </c>
      <c r="J18" s="1039">
        <f t="shared" si="7"/>
        <v>0.04</v>
      </c>
      <c r="K18" s="1040"/>
      <c r="L18" s="1040"/>
      <c r="M18" s="1040"/>
      <c r="N18" s="1040"/>
      <c r="O18" s="1040"/>
      <c r="P18" s="1040"/>
      <c r="Q18" s="1040"/>
      <c r="R18" s="1040"/>
      <c r="S18" s="1040"/>
      <c r="T18" s="1041">
        <f t="shared" si="8"/>
        <v>0.65074020709660607</v>
      </c>
    </row>
    <row r="19" spans="2:20">
      <c r="B19" s="275">
        <f t="shared" si="1"/>
        <v>9</v>
      </c>
      <c r="C19" s="276">
        <f t="shared" si="2"/>
        <v>9473.2901892895316</v>
      </c>
      <c r="D19" s="277">
        <f t="shared" si="3"/>
        <v>547.76735485736469</v>
      </c>
      <c r="E19" s="277">
        <f t="shared" si="4"/>
        <v>477.19321638794747</v>
      </c>
      <c r="F19" s="276">
        <f t="shared" si="5"/>
        <v>70.574138469417221</v>
      </c>
      <c r="G19" s="278">
        <f t="shared" si="6"/>
        <v>456.13567224105327</v>
      </c>
      <c r="J19" s="1039">
        <f t="shared" si="7"/>
        <v>0.05</v>
      </c>
      <c r="K19" s="1040"/>
      <c r="L19" s="1040"/>
      <c r="M19" s="1040"/>
      <c r="N19" s="1040"/>
      <c r="O19" s="1040"/>
      <c r="P19" s="1040"/>
      <c r="Q19" s="1040"/>
      <c r="R19" s="1040"/>
      <c r="S19" s="1040"/>
      <c r="T19" s="1041">
        <f t="shared" si="8"/>
        <v>0.68189677423012829</v>
      </c>
    </row>
    <row r="20" spans="2:20">
      <c r="B20" s="275">
        <f t="shared" si="1"/>
        <v>10</v>
      </c>
      <c r="C20" s="276">
        <f t="shared" si="2"/>
        <v>9399.1873438966431</v>
      </c>
      <c r="D20" s="277">
        <f t="shared" si="3"/>
        <v>547.76735485736469</v>
      </c>
      <c r="E20" s="277">
        <f t="shared" si="4"/>
        <v>473.66450946447662</v>
      </c>
      <c r="F20" s="276">
        <f t="shared" si="5"/>
        <v>74.102845392888071</v>
      </c>
      <c r="G20" s="278">
        <f t="shared" si="6"/>
        <v>526.70981071047049</v>
      </c>
      <c r="J20" s="1039">
        <f t="shared" si="7"/>
        <v>6.0000000000000005E-2</v>
      </c>
      <c r="K20" s="1040"/>
      <c r="L20" s="1040"/>
      <c r="M20" s="1040"/>
      <c r="N20" s="1040"/>
      <c r="O20" s="1040"/>
      <c r="P20" s="1040"/>
      <c r="Q20" s="1040"/>
      <c r="R20" s="1040"/>
      <c r="S20" s="1040"/>
      <c r="T20" s="1041">
        <f t="shared" si="8"/>
        <v>0.70987396035729067</v>
      </c>
    </row>
    <row r="21" spans="2:20">
      <c r="B21" s="275">
        <f t="shared" si="1"/>
        <v>11</v>
      </c>
      <c r="C21" s="276">
        <f t="shared" si="2"/>
        <v>9321.3793562341107</v>
      </c>
      <c r="D21" s="277">
        <f t="shared" si="3"/>
        <v>547.76735485736469</v>
      </c>
      <c r="E21" s="277">
        <f t="shared" si="4"/>
        <v>469.95936719483217</v>
      </c>
      <c r="F21" s="276">
        <f t="shared" si="5"/>
        <v>77.807987662532526</v>
      </c>
      <c r="G21" s="278">
        <f t="shared" si="6"/>
        <v>600.81265610335856</v>
      </c>
      <c r="J21" s="1039">
        <f t="shared" si="7"/>
        <v>7.0000000000000007E-2</v>
      </c>
      <c r="K21" s="1040"/>
      <c r="L21" s="1040"/>
      <c r="M21" s="1040"/>
      <c r="N21" s="1040"/>
      <c r="O21" s="1040"/>
      <c r="P21" s="1040"/>
      <c r="Q21" s="1040"/>
      <c r="R21" s="1040"/>
      <c r="S21" s="1040"/>
      <c r="T21" s="1041">
        <f t="shared" si="8"/>
        <v>0.73473178626901581</v>
      </c>
    </row>
    <row r="22" spans="2:20">
      <c r="B22" s="275">
        <f t="shared" si="1"/>
        <v>12</v>
      </c>
      <c r="C22" s="276">
        <f t="shared" si="2"/>
        <v>9239.6809691884519</v>
      </c>
      <c r="D22" s="277">
        <f t="shared" si="3"/>
        <v>547.76735485736469</v>
      </c>
      <c r="E22" s="277">
        <f t="shared" si="4"/>
        <v>466.06896781170553</v>
      </c>
      <c r="F22" s="276">
        <f t="shared" si="5"/>
        <v>81.69838704565916</v>
      </c>
      <c r="G22" s="278">
        <f t="shared" si="6"/>
        <v>678.62064376589115</v>
      </c>
      <c r="J22" s="1039">
        <f t="shared" si="7"/>
        <v>0.08</v>
      </c>
      <c r="K22" s="1040"/>
      <c r="L22" s="1040"/>
      <c r="M22" s="1040"/>
      <c r="N22" s="1040"/>
      <c r="O22" s="1040"/>
      <c r="P22" s="1040"/>
      <c r="Q22" s="1040"/>
      <c r="R22" s="1040"/>
      <c r="S22" s="1040"/>
      <c r="T22" s="1041">
        <f t="shared" si="8"/>
        <v>0.75665267354921184</v>
      </c>
    </row>
    <row r="23" spans="2:20">
      <c r="B23" s="275">
        <f t="shared" si="1"/>
        <v>13</v>
      </c>
      <c r="C23" s="276">
        <f t="shared" si="2"/>
        <v>9153.8976627905104</v>
      </c>
      <c r="D23" s="277">
        <f t="shared" si="3"/>
        <v>547.76735485736469</v>
      </c>
      <c r="E23" s="277">
        <f t="shared" si="4"/>
        <v>461.98404845942264</v>
      </c>
      <c r="F23" s="276">
        <f t="shared" si="5"/>
        <v>85.783306397942056</v>
      </c>
      <c r="G23" s="278">
        <f t="shared" si="6"/>
        <v>760.31903081155031</v>
      </c>
      <c r="J23" s="1039">
        <f t="shared" si="7"/>
        <v>0.09</v>
      </c>
      <c r="K23" s="1040"/>
      <c r="L23" s="1040"/>
      <c r="M23" s="1040"/>
      <c r="N23" s="1040"/>
      <c r="O23" s="1040"/>
      <c r="P23" s="1040"/>
      <c r="Q23" s="1040"/>
      <c r="R23" s="1040"/>
      <c r="S23" s="1040"/>
      <c r="T23" s="1041">
        <f t="shared" si="8"/>
        <v>0.77589180917869438</v>
      </c>
    </row>
    <row r="24" spans="2:20">
      <c r="B24" s="275">
        <f t="shared" si="1"/>
        <v>14</v>
      </c>
      <c r="C24" s="276">
        <f t="shared" si="2"/>
        <v>9063.8251910726703</v>
      </c>
      <c r="D24" s="277">
        <f t="shared" si="3"/>
        <v>547.76735485736469</v>
      </c>
      <c r="E24" s="277">
        <f t="shared" si="4"/>
        <v>457.69488313952553</v>
      </c>
      <c r="F24" s="276">
        <f t="shared" si="5"/>
        <v>90.072471717839164</v>
      </c>
      <c r="G24" s="278">
        <f t="shared" si="6"/>
        <v>846.10233720949236</v>
      </c>
      <c r="J24" s="1039">
        <f t="shared" si="7"/>
        <v>9.9999999999999992E-2</v>
      </c>
      <c r="K24" s="1040"/>
      <c r="L24" s="1040"/>
      <c r="M24" s="1040"/>
      <c r="N24" s="1040"/>
      <c r="O24" s="1040"/>
      <c r="P24" s="1040"/>
      <c r="Q24" s="1040"/>
      <c r="R24" s="1040"/>
      <c r="S24" s="1040"/>
      <c r="T24" s="1041">
        <f t="shared" si="8"/>
        <v>0.79273700045215889</v>
      </c>
    </row>
    <row r="25" spans="2:20">
      <c r="B25" s="275">
        <f t="shared" si="1"/>
        <v>15</v>
      </c>
      <c r="C25" s="276">
        <f t="shared" si="2"/>
        <v>8969.2490957689388</v>
      </c>
      <c r="D25" s="277">
        <f t="shared" si="3"/>
        <v>547.76735485736469</v>
      </c>
      <c r="E25" s="277">
        <f t="shared" si="4"/>
        <v>453.19125955363353</v>
      </c>
      <c r="F25" s="276">
        <f t="shared" si="5"/>
        <v>94.576095303731165</v>
      </c>
      <c r="G25" s="278">
        <f t="shared" si="6"/>
        <v>936.17480892733147</v>
      </c>
      <c r="J25" s="1039">
        <f t="shared" si="7"/>
        <v>0.10999999999999999</v>
      </c>
      <c r="K25" s="1040"/>
      <c r="L25" s="1040"/>
      <c r="M25" s="1040"/>
      <c r="N25" s="1040"/>
      <c r="O25" s="1040"/>
      <c r="P25" s="1040"/>
      <c r="Q25" s="1040"/>
      <c r="R25" s="1040"/>
      <c r="S25" s="1040"/>
      <c r="T25" s="1041">
        <f t="shared" si="8"/>
        <v>0.80747988717148989</v>
      </c>
    </row>
    <row r="26" spans="2:20">
      <c r="B26" s="275">
        <f t="shared" si="1"/>
        <v>16</v>
      </c>
      <c r="C26" s="276">
        <f t="shared" si="2"/>
        <v>8869.9441957000217</v>
      </c>
      <c r="D26" s="277">
        <f t="shared" si="3"/>
        <v>547.76735485736469</v>
      </c>
      <c r="E26" s="277">
        <f t="shared" si="4"/>
        <v>448.46245478844696</v>
      </c>
      <c r="F26" s="276">
        <f t="shared" si="5"/>
        <v>99.304900068917732</v>
      </c>
      <c r="G26" s="278">
        <f t="shared" si="6"/>
        <v>1030.7509042310626</v>
      </c>
    </row>
    <row r="27" spans="2:20">
      <c r="B27" s="275">
        <f t="shared" si="1"/>
        <v>17</v>
      </c>
      <c r="C27" s="276">
        <f t="shared" si="2"/>
        <v>8765.6740506276583</v>
      </c>
      <c r="D27" s="277">
        <f t="shared" si="3"/>
        <v>547.76735485736469</v>
      </c>
      <c r="E27" s="277">
        <f t="shared" si="4"/>
        <v>443.49720978500113</v>
      </c>
      <c r="F27" s="276">
        <f t="shared" si="5"/>
        <v>104.27014507236356</v>
      </c>
      <c r="G27" s="278">
        <f t="shared" si="6"/>
        <v>1130.0558042999803</v>
      </c>
    </row>
    <row r="28" spans="2:20">
      <c r="B28" s="275">
        <f t="shared" si="1"/>
        <v>18</v>
      </c>
      <c r="C28" s="276">
        <f t="shared" si="2"/>
        <v>8656.1903983016764</v>
      </c>
      <c r="D28" s="277">
        <f t="shared" si="3"/>
        <v>547.76735485736469</v>
      </c>
      <c r="E28" s="277">
        <f t="shared" si="4"/>
        <v>438.28370253138291</v>
      </c>
      <c r="F28" s="276">
        <f t="shared" si="5"/>
        <v>109.48365232598178</v>
      </c>
      <c r="G28" s="278">
        <f t="shared" si="6"/>
        <v>1234.325949372344</v>
      </c>
    </row>
    <row r="29" spans="2:20">
      <c r="B29" s="275">
        <f t="shared" si="1"/>
        <v>19</v>
      </c>
      <c r="C29" s="276">
        <f t="shared" si="2"/>
        <v>8541.2325633593955</v>
      </c>
      <c r="D29" s="277">
        <f t="shared" si="3"/>
        <v>547.76735485736469</v>
      </c>
      <c r="E29" s="277">
        <f t="shared" si="4"/>
        <v>432.80951991508385</v>
      </c>
      <c r="F29" s="276">
        <f t="shared" si="5"/>
        <v>114.95783494228084</v>
      </c>
      <c r="G29" s="278">
        <f t="shared" si="6"/>
        <v>1343.8096016983259</v>
      </c>
    </row>
    <row r="30" spans="2:20">
      <c r="B30" s="275">
        <f t="shared" si="1"/>
        <v>20</v>
      </c>
      <c r="C30" s="276">
        <f t="shared" si="2"/>
        <v>8420.5268366700002</v>
      </c>
      <c r="D30" s="277">
        <f t="shared" si="3"/>
        <v>547.76735485736469</v>
      </c>
      <c r="E30" s="277">
        <f t="shared" si="4"/>
        <v>427.06162816796979</v>
      </c>
      <c r="F30" s="276">
        <f t="shared" si="5"/>
        <v>120.70572668939491</v>
      </c>
      <c r="G30" s="278">
        <f t="shared" si="6"/>
        <v>1458.7674366406068</v>
      </c>
    </row>
    <row r="31" spans="2:20">
      <c r="B31" s="275">
        <f t="shared" si="1"/>
        <v>21</v>
      </c>
      <c r="C31" s="276">
        <f t="shared" si="2"/>
        <v>8293.7858236461361</v>
      </c>
      <c r="D31" s="277">
        <f t="shared" si="3"/>
        <v>547.76735485736469</v>
      </c>
      <c r="E31" s="277">
        <f t="shared" si="4"/>
        <v>421.02634183350006</v>
      </c>
      <c r="F31" s="276">
        <f t="shared" si="5"/>
        <v>126.74101302386464</v>
      </c>
      <c r="G31" s="278">
        <f t="shared" si="6"/>
        <v>1579.4731633300016</v>
      </c>
    </row>
    <row r="32" spans="2:20">
      <c r="B32" s="275">
        <f t="shared" si="1"/>
        <v>22</v>
      </c>
      <c r="C32" s="276">
        <f t="shared" si="2"/>
        <v>8160.7077599710783</v>
      </c>
      <c r="D32" s="277">
        <f t="shared" si="3"/>
        <v>547.76735485736469</v>
      </c>
      <c r="E32" s="277">
        <f t="shared" si="4"/>
        <v>414.68929118230682</v>
      </c>
      <c r="F32" s="276">
        <f t="shared" si="5"/>
        <v>133.07806367505788</v>
      </c>
      <c r="G32" s="278">
        <f t="shared" si="6"/>
        <v>1706.2141763538662</v>
      </c>
    </row>
    <row r="33" spans="2:7">
      <c r="B33" s="275">
        <f t="shared" si="1"/>
        <v>23</v>
      </c>
      <c r="C33" s="276">
        <f t="shared" si="2"/>
        <v>8020.9757931122676</v>
      </c>
      <c r="D33" s="277">
        <f t="shared" si="3"/>
        <v>547.76735485736469</v>
      </c>
      <c r="E33" s="277">
        <f t="shared" si="4"/>
        <v>408.03538799855392</v>
      </c>
      <c r="F33" s="276">
        <f t="shared" si="5"/>
        <v>139.73196685881078</v>
      </c>
      <c r="G33" s="278">
        <f t="shared" si="6"/>
        <v>1839.292240028924</v>
      </c>
    </row>
    <row r="34" spans="2:7">
      <c r="B34" s="275">
        <f t="shared" si="1"/>
        <v>24</v>
      </c>
      <c r="C34" s="276">
        <f t="shared" si="2"/>
        <v>7874.2572279105161</v>
      </c>
      <c r="D34" s="277">
        <f t="shared" si="3"/>
        <v>547.76735485736469</v>
      </c>
      <c r="E34" s="277">
        <f t="shared" si="4"/>
        <v>401.0487896556134</v>
      </c>
      <c r="F34" s="276">
        <f t="shared" si="5"/>
        <v>146.71856520175129</v>
      </c>
      <c r="G34" s="278">
        <f t="shared" si="6"/>
        <v>1979.0242068877346</v>
      </c>
    </row>
    <row r="35" spans="2:7">
      <c r="B35" s="275">
        <f t="shared" si="1"/>
        <v>25</v>
      </c>
      <c r="C35" s="276">
        <f t="shared" si="2"/>
        <v>7720.2027344486769</v>
      </c>
      <c r="D35" s="277">
        <f t="shared" si="3"/>
        <v>547.76735485736469</v>
      </c>
      <c r="E35" s="277">
        <f t="shared" si="4"/>
        <v>393.71286139552581</v>
      </c>
      <c r="F35" s="276">
        <f t="shared" si="5"/>
        <v>154.05449346183889</v>
      </c>
      <c r="G35" s="278">
        <f t="shared" si="6"/>
        <v>2125.7427720894857</v>
      </c>
    </row>
    <row r="36" spans="2:7">
      <c r="B36" s="275">
        <f t="shared" si="1"/>
        <v>26</v>
      </c>
      <c r="C36" s="276">
        <f t="shared" si="2"/>
        <v>7558.4455163137463</v>
      </c>
      <c r="D36" s="277">
        <f t="shared" si="3"/>
        <v>547.76735485736469</v>
      </c>
      <c r="E36" s="277">
        <f t="shared" si="4"/>
        <v>386.01013672243386</v>
      </c>
      <c r="F36" s="276">
        <f t="shared" si="5"/>
        <v>161.75721813493084</v>
      </c>
      <c r="G36" s="278">
        <f t="shared" si="6"/>
        <v>2279.7972655513245</v>
      </c>
    </row>
    <row r="37" spans="2:7">
      <c r="B37" s="275">
        <f t="shared" si="1"/>
        <v>27</v>
      </c>
      <c r="C37" s="276">
        <f t="shared" si="2"/>
        <v>7388.600437272069</v>
      </c>
      <c r="D37" s="277">
        <f t="shared" si="3"/>
        <v>547.76735485736469</v>
      </c>
      <c r="E37" s="277">
        <f t="shared" si="4"/>
        <v>377.92227581568733</v>
      </c>
      <c r="F37" s="276">
        <f t="shared" si="5"/>
        <v>169.84507904167737</v>
      </c>
      <c r="G37" s="278">
        <f t="shared" si="6"/>
        <v>2441.5544836862555</v>
      </c>
    </row>
    <row r="38" spans="2:7">
      <c r="B38" s="275">
        <f t="shared" si="1"/>
        <v>28</v>
      </c>
      <c r="C38" s="276">
        <f t="shared" si="2"/>
        <v>7210.2631042783078</v>
      </c>
      <c r="D38" s="277">
        <f t="shared" si="3"/>
        <v>547.76735485736469</v>
      </c>
      <c r="E38" s="277">
        <f t="shared" si="4"/>
        <v>369.43002186360349</v>
      </c>
      <c r="F38" s="276">
        <f t="shared" si="5"/>
        <v>178.33733299376121</v>
      </c>
      <c r="G38" s="278">
        <f t="shared" si="6"/>
        <v>2611.3995627279328</v>
      </c>
    </row>
    <row r="39" spans="2:7">
      <c r="B39" s="275">
        <f t="shared" si="1"/>
        <v>29</v>
      </c>
      <c r="C39" s="276">
        <f t="shared" si="2"/>
        <v>7023.0089046348585</v>
      </c>
      <c r="D39" s="277">
        <f t="shared" si="3"/>
        <v>547.76735485736469</v>
      </c>
      <c r="E39" s="277">
        <f t="shared" si="4"/>
        <v>360.51315521391541</v>
      </c>
      <c r="F39" s="276">
        <f t="shared" si="5"/>
        <v>187.25419964344928</v>
      </c>
      <c r="G39" s="278">
        <f t="shared" si="6"/>
        <v>2789.7368957216941</v>
      </c>
    </row>
    <row r="40" spans="2:7">
      <c r="B40" s="275">
        <f t="shared" si="1"/>
        <v>30</v>
      </c>
      <c r="C40" s="276">
        <f t="shared" si="2"/>
        <v>6826.3919950092368</v>
      </c>
      <c r="D40" s="277">
        <f t="shared" si="3"/>
        <v>547.76735485736469</v>
      </c>
      <c r="E40" s="277">
        <f t="shared" si="4"/>
        <v>351.15044523174294</v>
      </c>
      <c r="F40" s="276">
        <f t="shared" si="5"/>
        <v>196.61690962562176</v>
      </c>
      <c r="G40" s="278">
        <f t="shared" si="6"/>
        <v>2976.9910953651433</v>
      </c>
    </row>
    <row r="41" spans="2:7">
      <c r="B41" s="275">
        <f t="shared" si="1"/>
        <v>31</v>
      </c>
      <c r="C41" s="276">
        <f t="shared" si="2"/>
        <v>6619.9442399023337</v>
      </c>
      <c r="D41" s="277">
        <f t="shared" si="3"/>
        <v>547.76735485736469</v>
      </c>
      <c r="E41" s="277">
        <f t="shared" si="4"/>
        <v>341.31959975046186</v>
      </c>
      <c r="F41" s="276">
        <f t="shared" si="5"/>
        <v>206.44775510690283</v>
      </c>
      <c r="G41" s="278">
        <f t="shared" si="6"/>
        <v>3173.608004990765</v>
      </c>
    </row>
    <row r="42" spans="2:7">
      <c r="B42" s="275">
        <f t="shared" si="1"/>
        <v>32</v>
      </c>
      <c r="C42" s="276">
        <f t="shared" si="2"/>
        <v>6403.1740970400861</v>
      </c>
      <c r="D42" s="277">
        <f t="shared" si="3"/>
        <v>547.76735485736469</v>
      </c>
      <c r="E42" s="277">
        <f t="shared" si="4"/>
        <v>330.99721199511669</v>
      </c>
      <c r="F42" s="276">
        <f t="shared" si="5"/>
        <v>216.77014286224801</v>
      </c>
      <c r="G42" s="278">
        <f t="shared" si="6"/>
        <v>3380.0557600976681</v>
      </c>
    </row>
    <row r="43" spans="2:7">
      <c r="B43" s="275">
        <f t="shared" ref="B43:B60" si="9">B42+1</f>
        <v>33</v>
      </c>
      <c r="C43" s="276">
        <f t="shared" ref="C43:C60" si="10">IF(C42-F43&lt;0.001,0,C42-F43)</f>
        <v>6175.5654470347254</v>
      </c>
      <c r="D43" s="277">
        <f t="shared" ref="D43:D60" si="11">IF(B43&gt;$D$6,0,PMT($D$5,$D$6,-$D$4))</f>
        <v>547.76735485736469</v>
      </c>
      <c r="E43" s="277">
        <f t="shared" ref="E43:E60" si="12">C42*$D$5</f>
        <v>320.15870485200435</v>
      </c>
      <c r="F43" s="276">
        <f t="shared" ref="F43:F60" si="13">D43-E43</f>
        <v>227.60865000536035</v>
      </c>
      <c r="G43" s="278">
        <f t="shared" si="6"/>
        <v>3596.8259029599162</v>
      </c>
    </row>
    <row r="44" spans="2:7">
      <c r="B44" s="275">
        <f t="shared" si="9"/>
        <v>34</v>
      </c>
      <c r="C44" s="276">
        <f t="shared" si="10"/>
        <v>5936.5763645290972</v>
      </c>
      <c r="D44" s="277">
        <f t="shared" si="11"/>
        <v>547.76735485736469</v>
      </c>
      <c r="E44" s="277">
        <f t="shared" si="12"/>
        <v>308.77827235173629</v>
      </c>
      <c r="F44" s="276">
        <f t="shared" si="13"/>
        <v>238.9890825056284</v>
      </c>
      <c r="G44" s="278">
        <f t="shared" ref="G44:G60" si="14">IF(ROUND(G43+F43,2)=$D$4,0,G43+F43)</f>
        <v>3824.4345529652765</v>
      </c>
    </row>
    <row r="45" spans="2:7">
      <c r="B45" s="275">
        <f t="shared" si="9"/>
        <v>35</v>
      </c>
      <c r="C45" s="276">
        <f t="shared" si="10"/>
        <v>5685.6378278981874</v>
      </c>
      <c r="D45" s="277">
        <f t="shared" si="11"/>
        <v>547.76735485736469</v>
      </c>
      <c r="E45" s="277">
        <f t="shared" si="12"/>
        <v>296.82881822645487</v>
      </c>
      <c r="F45" s="276">
        <f t="shared" si="13"/>
        <v>250.93853663090982</v>
      </c>
      <c r="G45" s="278">
        <f t="shared" si="14"/>
        <v>4063.4236354709046</v>
      </c>
    </row>
    <row r="46" spans="2:7">
      <c r="B46" s="275">
        <f t="shared" si="9"/>
        <v>36</v>
      </c>
      <c r="C46" s="276">
        <f t="shared" si="10"/>
        <v>5422.1523644357321</v>
      </c>
      <c r="D46" s="277">
        <f t="shared" si="11"/>
        <v>547.76735485736469</v>
      </c>
      <c r="E46" s="277">
        <f t="shared" si="12"/>
        <v>284.28189139490939</v>
      </c>
      <c r="F46" s="276">
        <f t="shared" si="13"/>
        <v>263.4854634624553</v>
      </c>
      <c r="G46" s="278">
        <f t="shared" si="14"/>
        <v>4314.3621721018144</v>
      </c>
    </row>
    <row r="47" spans="2:7">
      <c r="B47" s="275">
        <f t="shared" si="9"/>
        <v>37</v>
      </c>
      <c r="C47" s="276">
        <f t="shared" si="10"/>
        <v>5145.492627800154</v>
      </c>
      <c r="D47" s="277">
        <f t="shared" si="11"/>
        <v>547.76735485736469</v>
      </c>
      <c r="E47" s="277">
        <f t="shared" si="12"/>
        <v>271.10761822178659</v>
      </c>
      <c r="F47" s="276">
        <f t="shared" si="13"/>
        <v>276.6597366355781</v>
      </c>
      <c r="G47" s="278">
        <f t="shared" si="14"/>
        <v>4577.8476355642697</v>
      </c>
    </row>
    <row r="48" spans="2:7">
      <c r="B48" s="275">
        <f t="shared" si="9"/>
        <v>38</v>
      </c>
      <c r="C48" s="276">
        <f t="shared" si="10"/>
        <v>4854.9999043327971</v>
      </c>
      <c r="D48" s="277">
        <f t="shared" si="11"/>
        <v>547.76735485736469</v>
      </c>
      <c r="E48" s="277">
        <f t="shared" si="12"/>
        <v>257.2746313900077</v>
      </c>
      <c r="F48" s="276">
        <f t="shared" si="13"/>
        <v>290.492723467357</v>
      </c>
      <c r="G48" s="278">
        <f t="shared" si="14"/>
        <v>4854.5073721998479</v>
      </c>
    </row>
    <row r="49" spans="2:7">
      <c r="B49" s="275">
        <f t="shared" si="9"/>
        <v>39</v>
      </c>
      <c r="C49" s="276">
        <f t="shared" si="10"/>
        <v>4549.9825446920722</v>
      </c>
      <c r="D49" s="277">
        <f t="shared" si="11"/>
        <v>547.76735485736469</v>
      </c>
      <c r="E49" s="277">
        <f t="shared" si="12"/>
        <v>242.74999521663986</v>
      </c>
      <c r="F49" s="276">
        <f t="shared" si="13"/>
        <v>305.01735964072486</v>
      </c>
      <c r="G49" s="278">
        <f t="shared" si="14"/>
        <v>5145.0000956672047</v>
      </c>
    </row>
    <row r="50" spans="2:7">
      <c r="B50" s="275">
        <f t="shared" si="9"/>
        <v>40</v>
      </c>
      <c r="C50" s="276">
        <f t="shared" si="10"/>
        <v>4229.7143170693107</v>
      </c>
      <c r="D50" s="277">
        <f t="shared" si="11"/>
        <v>547.76735485736469</v>
      </c>
      <c r="E50" s="277">
        <f t="shared" si="12"/>
        <v>227.49912723460363</v>
      </c>
      <c r="F50" s="276">
        <f t="shared" si="13"/>
        <v>320.26822762276106</v>
      </c>
      <c r="G50" s="278">
        <f t="shared" si="14"/>
        <v>5450.0174553079296</v>
      </c>
    </row>
    <row r="51" spans="2:7">
      <c r="B51" s="275">
        <f t="shared" si="9"/>
        <v>41</v>
      </c>
      <c r="C51" s="276">
        <f t="shared" si="10"/>
        <v>3893.4326780654114</v>
      </c>
      <c r="D51" s="277">
        <f t="shared" si="11"/>
        <v>547.76735485736469</v>
      </c>
      <c r="E51" s="277">
        <f t="shared" si="12"/>
        <v>211.48571585346554</v>
      </c>
      <c r="F51" s="276">
        <f t="shared" si="13"/>
        <v>336.28163900389916</v>
      </c>
      <c r="G51" s="278">
        <f t="shared" si="14"/>
        <v>5770.2856829306911</v>
      </c>
    </row>
    <row r="52" spans="2:7">
      <c r="B52" s="275">
        <f t="shared" si="9"/>
        <v>42</v>
      </c>
      <c r="C52" s="276">
        <f t="shared" si="10"/>
        <v>3540.3369571113171</v>
      </c>
      <c r="D52" s="277">
        <f t="shared" si="11"/>
        <v>547.76735485736469</v>
      </c>
      <c r="E52" s="277">
        <f t="shared" si="12"/>
        <v>194.67163390327059</v>
      </c>
      <c r="F52" s="276">
        <f t="shared" si="13"/>
        <v>353.09572095409408</v>
      </c>
      <c r="G52" s="278">
        <f t="shared" si="14"/>
        <v>6106.5673219345899</v>
      </c>
    </row>
    <row r="53" spans="2:7">
      <c r="B53" s="275">
        <f t="shared" si="9"/>
        <v>43</v>
      </c>
      <c r="C53" s="276">
        <f t="shared" si="10"/>
        <v>3169.5864501095184</v>
      </c>
      <c r="D53" s="277">
        <f t="shared" si="11"/>
        <v>547.76735485736469</v>
      </c>
      <c r="E53" s="277">
        <f t="shared" si="12"/>
        <v>177.01684785556586</v>
      </c>
      <c r="F53" s="276">
        <f t="shared" si="13"/>
        <v>370.75050700179884</v>
      </c>
      <c r="G53" s="278">
        <f t="shared" si="14"/>
        <v>6459.6630428886838</v>
      </c>
    </row>
    <row r="54" spans="2:7">
      <c r="B54" s="275">
        <f t="shared" si="9"/>
        <v>44</v>
      </c>
      <c r="C54" s="276">
        <f t="shared" si="10"/>
        <v>2780.2984177576295</v>
      </c>
      <c r="D54" s="277">
        <f t="shared" si="11"/>
        <v>547.76735485736469</v>
      </c>
      <c r="E54" s="277">
        <f t="shared" si="12"/>
        <v>158.47932250547592</v>
      </c>
      <c r="F54" s="276">
        <f t="shared" si="13"/>
        <v>389.28803235188877</v>
      </c>
      <c r="G54" s="278">
        <f t="shared" si="14"/>
        <v>6830.4135498904825</v>
      </c>
    </row>
    <row r="55" spans="2:7">
      <c r="B55" s="275">
        <f t="shared" si="9"/>
        <v>45</v>
      </c>
      <c r="C55" s="276">
        <f t="shared" si="10"/>
        <v>2371.5459837881463</v>
      </c>
      <c r="D55" s="277">
        <f t="shared" si="11"/>
        <v>547.76735485736469</v>
      </c>
      <c r="E55" s="277">
        <f t="shared" si="12"/>
        <v>139.01492088788149</v>
      </c>
      <c r="F55" s="276">
        <f t="shared" si="13"/>
        <v>408.75243396948321</v>
      </c>
      <c r="G55" s="278">
        <f t="shared" si="14"/>
        <v>7219.7015822423709</v>
      </c>
    </row>
    <row r="56" spans="2:7">
      <c r="B56" s="275">
        <f t="shared" si="9"/>
        <v>46</v>
      </c>
      <c r="C56" s="276">
        <f t="shared" si="10"/>
        <v>1942.3559281201888</v>
      </c>
      <c r="D56" s="277">
        <f t="shared" si="11"/>
        <v>547.76735485736469</v>
      </c>
      <c r="E56" s="277">
        <f t="shared" si="12"/>
        <v>118.57729918940731</v>
      </c>
      <c r="F56" s="276">
        <f t="shared" si="13"/>
        <v>429.19005566795738</v>
      </c>
      <c r="G56" s="278">
        <f t="shared" si="14"/>
        <v>7628.4540162118537</v>
      </c>
    </row>
    <row r="57" spans="2:7">
      <c r="B57" s="275">
        <f t="shared" si="9"/>
        <v>47</v>
      </c>
      <c r="C57" s="276">
        <f t="shared" si="10"/>
        <v>1491.7063696688335</v>
      </c>
      <c r="D57" s="277">
        <f t="shared" si="11"/>
        <v>547.76735485736469</v>
      </c>
      <c r="E57" s="277">
        <f t="shared" si="12"/>
        <v>97.117796406009447</v>
      </c>
      <c r="F57" s="276">
        <f t="shared" si="13"/>
        <v>450.64955845135523</v>
      </c>
      <c r="G57" s="278">
        <f t="shared" si="14"/>
        <v>8057.6440718798112</v>
      </c>
    </row>
    <row r="58" spans="2:7">
      <c r="B58" s="275">
        <f t="shared" si="9"/>
        <v>48</v>
      </c>
      <c r="C58" s="276">
        <f t="shared" si="10"/>
        <v>1018.5243332949105</v>
      </c>
      <c r="D58" s="277">
        <f t="shared" si="11"/>
        <v>547.76735485736469</v>
      </c>
      <c r="E58" s="277">
        <f t="shared" si="12"/>
        <v>74.585318483441682</v>
      </c>
      <c r="F58" s="276">
        <f t="shared" si="13"/>
        <v>473.18203637392298</v>
      </c>
      <c r="G58" s="278">
        <f t="shared" si="14"/>
        <v>8508.2936303311672</v>
      </c>
    </row>
    <row r="59" spans="2:7">
      <c r="B59" s="275">
        <f t="shared" si="9"/>
        <v>49</v>
      </c>
      <c r="C59" s="276">
        <f t="shared" si="10"/>
        <v>521.68319510229139</v>
      </c>
      <c r="D59" s="277">
        <f t="shared" si="11"/>
        <v>547.76735485736469</v>
      </c>
      <c r="E59" s="277">
        <f t="shared" si="12"/>
        <v>50.926216664745532</v>
      </c>
      <c r="F59" s="276">
        <f t="shared" si="13"/>
        <v>496.84113819261916</v>
      </c>
      <c r="G59" s="278">
        <f t="shared" si="14"/>
        <v>8981.4756667050897</v>
      </c>
    </row>
    <row r="60" spans="2:7">
      <c r="B60" s="283">
        <f t="shared" si="9"/>
        <v>50</v>
      </c>
      <c r="C60" s="284">
        <f t="shared" si="10"/>
        <v>0</v>
      </c>
      <c r="D60" s="285">
        <f t="shared" si="11"/>
        <v>547.76735485736469</v>
      </c>
      <c r="E60" s="285">
        <f t="shared" si="12"/>
        <v>26.08415975511457</v>
      </c>
      <c r="F60" s="284">
        <f t="shared" si="13"/>
        <v>521.68319510225012</v>
      </c>
      <c r="G60" s="286">
        <f t="shared" si="14"/>
        <v>9478.3168048977095</v>
      </c>
    </row>
    <row r="76" spans="11:14">
      <c r="K76" s="287"/>
      <c r="L76" s="287"/>
      <c r="M76" s="287"/>
      <c r="N76" s="288"/>
    </row>
  </sheetData>
  <mergeCells count="1">
    <mergeCell ref="I6:I15"/>
  </mergeCells>
  <phoneticPr fontId="5" type="noConversion"/>
  <printOptions horizontalCentered="1" verticalCentered="1" gridLinesSet="0"/>
  <pageMargins left="0.59055118110236227" right="0.59055118110236227" top="0.78740157480314965" bottom="0.59055118110236227" header="0.31496062992125984" footer="0.31496062992125984"/>
  <pageSetup paperSize="9" scale="82" orientation="portrait" horizontalDpi="4294967292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9">
    <pageSetUpPr fitToPage="1"/>
  </sheetPr>
  <dimension ref="B1:J60"/>
  <sheetViews>
    <sheetView showGridLines="0" zoomScaleNormal="100" workbookViewId="0"/>
  </sheetViews>
  <sheetFormatPr baseColWidth="10" defaultColWidth="11.21875" defaultRowHeight="13.2"/>
  <cols>
    <col min="1" max="1" width="2.44140625" style="290" customWidth="1"/>
    <col min="2" max="2" width="7.44140625" style="290" bestFit="1" customWidth="1"/>
    <col min="3" max="7" width="8.44140625" style="290" customWidth="1"/>
    <col min="8" max="8" width="7.5546875" style="290" customWidth="1"/>
    <col min="9" max="10" width="7.77734375" style="290" customWidth="1"/>
    <col min="11" max="19" width="6.5546875" style="290" customWidth="1"/>
    <col min="20" max="20" width="8" style="290" customWidth="1"/>
    <col min="21" max="16384" width="11.21875" style="290"/>
  </cols>
  <sheetData>
    <row r="1" spans="2:10" ht="13.8">
      <c r="B1" s="237" t="s">
        <v>231</v>
      </c>
    </row>
    <row r="2" spans="2:10" ht="13.8">
      <c r="B2" s="237" t="s">
        <v>248</v>
      </c>
    </row>
    <row r="4" spans="2:10" ht="9.75" customHeight="1">
      <c r="B4" s="291" t="s">
        <v>337</v>
      </c>
      <c r="C4" s="292">
        <v>100000</v>
      </c>
      <c r="D4" s="293"/>
      <c r="E4" s="293"/>
      <c r="F4" s="291" t="s">
        <v>235</v>
      </c>
      <c r="G4" s="294">
        <f>SUM(G10:G60)/(C5+1)</f>
        <v>33986.928104575156</v>
      </c>
      <c r="H4" s="293"/>
      <c r="I4" s="293"/>
      <c r="J4" s="293"/>
    </row>
    <row r="5" spans="2:10" ht="9.75" customHeight="1">
      <c r="B5" s="295" t="s">
        <v>249</v>
      </c>
      <c r="C5" s="296">
        <v>50</v>
      </c>
      <c r="D5" s="293"/>
      <c r="E5" s="293"/>
      <c r="F5" s="297" t="s">
        <v>236</v>
      </c>
      <c r="G5" s="298">
        <f>G4/C4</f>
        <v>0.33986928104575154</v>
      </c>
      <c r="H5" s="293"/>
      <c r="I5" s="293"/>
      <c r="J5" s="293"/>
    </row>
    <row r="6" spans="2:10" ht="9.75" customHeight="1">
      <c r="B6" s="299" t="s">
        <v>734</v>
      </c>
      <c r="C6" s="300">
        <f>VLOOKUP(C5,$B$10:$C$60,2)</f>
        <v>1275</v>
      </c>
      <c r="D6" s="293"/>
      <c r="E6" s="293"/>
      <c r="F6" s="293"/>
      <c r="G6" s="293"/>
      <c r="H6" s="293"/>
      <c r="I6" s="293"/>
      <c r="J6" s="293"/>
    </row>
    <row r="7" spans="2:10" ht="9.75" customHeight="1">
      <c r="B7" s="293"/>
      <c r="C7" s="293"/>
      <c r="D7" s="293"/>
      <c r="E7" s="293"/>
      <c r="F7" s="293"/>
      <c r="G7" s="293"/>
      <c r="H7" s="293"/>
      <c r="I7" s="293"/>
      <c r="J7" s="293"/>
    </row>
    <row r="8" spans="2:10" ht="9.75" customHeight="1">
      <c r="B8" s="293"/>
      <c r="C8" s="293"/>
      <c r="D8" s="293"/>
      <c r="E8" s="293"/>
      <c r="F8" s="293"/>
      <c r="G8" s="293"/>
      <c r="H8" s="293"/>
      <c r="I8" s="293"/>
      <c r="J8" s="293"/>
    </row>
    <row r="9" spans="2:10" ht="9.75" customHeight="1">
      <c r="B9" s="301" t="s">
        <v>390</v>
      </c>
      <c r="C9" s="302" t="s">
        <v>735</v>
      </c>
      <c r="D9" s="303" t="s">
        <v>250</v>
      </c>
      <c r="E9" s="303" t="s">
        <v>251</v>
      </c>
      <c r="F9" s="303" t="s">
        <v>549</v>
      </c>
      <c r="G9" s="304" t="s">
        <v>245</v>
      </c>
      <c r="H9" s="293"/>
      <c r="I9" s="301" t="s">
        <v>247</v>
      </c>
      <c r="J9" s="304" t="s">
        <v>235</v>
      </c>
    </row>
    <row r="10" spans="2:10" ht="9.75" customHeight="1">
      <c r="B10" s="305">
        <v>0</v>
      </c>
      <c r="C10" s="306"/>
      <c r="D10" s="306"/>
      <c r="E10" s="306"/>
      <c r="F10" s="307"/>
      <c r="G10" s="308">
        <f>C4</f>
        <v>100000</v>
      </c>
      <c r="H10" s="293"/>
      <c r="I10" s="305"/>
      <c r="J10" s="309">
        <f>G5</f>
        <v>0.33986928104575154</v>
      </c>
    </row>
    <row r="11" spans="2:10" ht="9.75" customHeight="1">
      <c r="B11" s="305">
        <f t="shared" ref="B11:B42" si="0">B10+1</f>
        <v>1</v>
      </c>
      <c r="C11" s="306">
        <f t="shared" ref="C11:C42" si="1">C10+B11</f>
        <v>1</v>
      </c>
      <c r="D11" s="306">
        <f t="shared" ref="D11:D42" si="2">IF(B11&gt;$C$5,0,$C$5-B10)</f>
        <v>50</v>
      </c>
      <c r="E11" s="310">
        <f t="shared" ref="E11:E42" si="3">IF(D11=0,0,D11/$C$6)</f>
        <v>3.9215686274509803E-2</v>
      </c>
      <c r="F11" s="307">
        <f t="shared" ref="F11:F42" si="4">E11*$C$4</f>
        <v>3921.5686274509803</v>
      </c>
      <c r="G11" s="308">
        <f t="shared" ref="G11:G42" si="5">G10-F11</f>
        <v>96078.431372549021</v>
      </c>
      <c r="H11" s="293"/>
      <c r="I11" s="305">
        <v>1</v>
      </c>
      <c r="J11" s="311">
        <f t="dataTable" ref="J11:J60" dt2D="0" dtr="0" r1="C5"/>
        <v>0.5</v>
      </c>
    </row>
    <row r="12" spans="2:10" ht="9.75" customHeight="1">
      <c r="B12" s="305">
        <f t="shared" si="0"/>
        <v>2</v>
      </c>
      <c r="C12" s="306">
        <f t="shared" si="1"/>
        <v>3</v>
      </c>
      <c r="D12" s="306">
        <f t="shared" si="2"/>
        <v>49</v>
      </c>
      <c r="E12" s="310">
        <f t="shared" si="3"/>
        <v>3.8431372549019606E-2</v>
      </c>
      <c r="F12" s="307">
        <f t="shared" si="4"/>
        <v>3843.1372549019607</v>
      </c>
      <c r="G12" s="308">
        <f t="shared" si="5"/>
        <v>92235.294117647063</v>
      </c>
      <c r="H12" s="293"/>
      <c r="I12" s="305">
        <f t="shared" ref="I12:I43" si="6">I11+1</f>
        <v>2</v>
      </c>
      <c r="J12" s="311">
        <v>0.44444444444444448</v>
      </c>
    </row>
    <row r="13" spans="2:10" ht="9.75" customHeight="1">
      <c r="B13" s="305">
        <f t="shared" si="0"/>
        <v>3</v>
      </c>
      <c r="C13" s="306">
        <f t="shared" si="1"/>
        <v>6</v>
      </c>
      <c r="D13" s="306">
        <f t="shared" si="2"/>
        <v>48</v>
      </c>
      <c r="E13" s="310">
        <f t="shared" si="3"/>
        <v>3.7647058823529408E-2</v>
      </c>
      <c r="F13" s="307">
        <f t="shared" si="4"/>
        <v>3764.705882352941</v>
      </c>
      <c r="G13" s="308">
        <f t="shared" si="5"/>
        <v>88470.588235294126</v>
      </c>
      <c r="H13" s="293"/>
      <c r="I13" s="305">
        <f t="shared" si="6"/>
        <v>3</v>
      </c>
      <c r="J13" s="311">
        <v>0.41666666666666674</v>
      </c>
    </row>
    <row r="14" spans="2:10" ht="9.75" customHeight="1">
      <c r="B14" s="305">
        <f t="shared" si="0"/>
        <v>4</v>
      </c>
      <c r="C14" s="306">
        <f t="shared" si="1"/>
        <v>10</v>
      </c>
      <c r="D14" s="306">
        <f t="shared" si="2"/>
        <v>47</v>
      </c>
      <c r="E14" s="310">
        <f t="shared" si="3"/>
        <v>3.6862745098039218E-2</v>
      </c>
      <c r="F14" s="307">
        <f t="shared" si="4"/>
        <v>3686.2745098039218</v>
      </c>
      <c r="G14" s="308">
        <f t="shared" si="5"/>
        <v>84784.31372549021</v>
      </c>
      <c r="H14" s="293"/>
      <c r="I14" s="305">
        <f t="shared" si="6"/>
        <v>4</v>
      </c>
      <c r="J14" s="311">
        <v>0.4</v>
      </c>
    </row>
    <row r="15" spans="2:10" ht="9.75" customHeight="1">
      <c r="B15" s="305">
        <f t="shared" si="0"/>
        <v>5</v>
      </c>
      <c r="C15" s="306">
        <f t="shared" si="1"/>
        <v>15</v>
      </c>
      <c r="D15" s="306">
        <f t="shared" si="2"/>
        <v>46</v>
      </c>
      <c r="E15" s="310">
        <f t="shared" si="3"/>
        <v>3.607843137254902E-2</v>
      </c>
      <c r="F15" s="307">
        <f t="shared" si="4"/>
        <v>3607.8431372549021</v>
      </c>
      <c r="G15" s="308">
        <f t="shared" si="5"/>
        <v>81176.470588235301</v>
      </c>
      <c r="H15" s="293"/>
      <c r="I15" s="305">
        <f t="shared" si="6"/>
        <v>5</v>
      </c>
      <c r="J15" s="311">
        <v>0.3888888888888889</v>
      </c>
    </row>
    <row r="16" spans="2:10" ht="9.75" customHeight="1">
      <c r="B16" s="305">
        <f t="shared" si="0"/>
        <v>6</v>
      </c>
      <c r="C16" s="306">
        <f t="shared" si="1"/>
        <v>21</v>
      </c>
      <c r="D16" s="306">
        <f t="shared" si="2"/>
        <v>45</v>
      </c>
      <c r="E16" s="310">
        <f t="shared" si="3"/>
        <v>3.5294117647058823E-2</v>
      </c>
      <c r="F16" s="307">
        <f t="shared" si="4"/>
        <v>3529.4117647058824</v>
      </c>
      <c r="G16" s="308">
        <f t="shared" si="5"/>
        <v>77647.058823529413</v>
      </c>
      <c r="H16" s="293"/>
      <c r="I16" s="305">
        <f t="shared" si="6"/>
        <v>6</v>
      </c>
      <c r="J16" s="311">
        <v>0.38095238095238099</v>
      </c>
    </row>
    <row r="17" spans="2:10" ht="9.75" customHeight="1">
      <c r="B17" s="305">
        <f t="shared" si="0"/>
        <v>7</v>
      </c>
      <c r="C17" s="306">
        <f t="shared" si="1"/>
        <v>28</v>
      </c>
      <c r="D17" s="306">
        <f t="shared" si="2"/>
        <v>44</v>
      </c>
      <c r="E17" s="310">
        <f t="shared" si="3"/>
        <v>3.4509803921568626E-2</v>
      </c>
      <c r="F17" s="307">
        <f t="shared" si="4"/>
        <v>3450.9803921568628</v>
      </c>
      <c r="G17" s="308">
        <f t="shared" si="5"/>
        <v>74196.078431372545</v>
      </c>
      <c r="H17" s="293"/>
      <c r="I17" s="305">
        <f t="shared" si="6"/>
        <v>7</v>
      </c>
      <c r="J17" s="311">
        <v>0.37500000000000006</v>
      </c>
    </row>
    <row r="18" spans="2:10" ht="9.75" customHeight="1">
      <c r="B18" s="305">
        <f t="shared" si="0"/>
        <v>8</v>
      </c>
      <c r="C18" s="306">
        <f t="shared" si="1"/>
        <v>36</v>
      </c>
      <c r="D18" s="306">
        <f t="shared" si="2"/>
        <v>43</v>
      </c>
      <c r="E18" s="310">
        <f t="shared" si="3"/>
        <v>3.3725490196078428E-2</v>
      </c>
      <c r="F18" s="307">
        <f t="shared" si="4"/>
        <v>3372.5490196078426</v>
      </c>
      <c r="G18" s="308">
        <f t="shared" si="5"/>
        <v>70823.529411764699</v>
      </c>
      <c r="H18" s="293"/>
      <c r="I18" s="305">
        <f t="shared" si="6"/>
        <v>8</v>
      </c>
      <c r="J18" s="311">
        <v>0.37037037037037052</v>
      </c>
    </row>
    <row r="19" spans="2:10" ht="9.75" customHeight="1">
      <c r="B19" s="305">
        <f t="shared" si="0"/>
        <v>9</v>
      </c>
      <c r="C19" s="306">
        <f t="shared" si="1"/>
        <v>45</v>
      </c>
      <c r="D19" s="306">
        <f t="shared" si="2"/>
        <v>42</v>
      </c>
      <c r="E19" s="310">
        <f t="shared" si="3"/>
        <v>3.2941176470588238E-2</v>
      </c>
      <c r="F19" s="307">
        <f t="shared" si="4"/>
        <v>3294.1176470588239</v>
      </c>
      <c r="G19" s="308">
        <f t="shared" si="5"/>
        <v>67529.411764705874</v>
      </c>
      <c r="H19" s="293"/>
      <c r="I19" s="305">
        <f t="shared" si="6"/>
        <v>9</v>
      </c>
      <c r="J19" s="311">
        <v>0.36666666666666664</v>
      </c>
    </row>
    <row r="20" spans="2:10" ht="9.75" customHeight="1">
      <c r="B20" s="305">
        <f t="shared" si="0"/>
        <v>10</v>
      </c>
      <c r="C20" s="306">
        <f t="shared" si="1"/>
        <v>55</v>
      </c>
      <c r="D20" s="306">
        <f t="shared" si="2"/>
        <v>41</v>
      </c>
      <c r="E20" s="310">
        <f t="shared" si="3"/>
        <v>3.215686274509804E-2</v>
      </c>
      <c r="F20" s="307">
        <f t="shared" si="4"/>
        <v>3215.6862745098042</v>
      </c>
      <c r="G20" s="308">
        <f t="shared" si="5"/>
        <v>64313.72549019607</v>
      </c>
      <c r="H20" s="293"/>
      <c r="I20" s="305">
        <f t="shared" si="6"/>
        <v>10</v>
      </c>
      <c r="J20" s="311">
        <v>0.36363636363636376</v>
      </c>
    </row>
    <row r="21" spans="2:10" ht="9.75" customHeight="1">
      <c r="B21" s="305">
        <f t="shared" si="0"/>
        <v>11</v>
      </c>
      <c r="C21" s="306">
        <f t="shared" si="1"/>
        <v>66</v>
      </c>
      <c r="D21" s="306">
        <f t="shared" si="2"/>
        <v>40</v>
      </c>
      <c r="E21" s="310">
        <f t="shared" si="3"/>
        <v>3.1372549019607843E-2</v>
      </c>
      <c r="F21" s="307">
        <f t="shared" si="4"/>
        <v>3137.2549019607841</v>
      </c>
      <c r="G21" s="308">
        <f t="shared" si="5"/>
        <v>61176.470588235286</v>
      </c>
      <c r="H21" s="293"/>
      <c r="I21" s="305">
        <f t="shared" si="6"/>
        <v>11</v>
      </c>
      <c r="J21" s="311">
        <v>0.36111111111111116</v>
      </c>
    </row>
    <row r="22" spans="2:10" ht="9.75" customHeight="1">
      <c r="B22" s="305">
        <f t="shared" si="0"/>
        <v>12</v>
      </c>
      <c r="C22" s="306">
        <f t="shared" si="1"/>
        <v>78</v>
      </c>
      <c r="D22" s="306">
        <f t="shared" si="2"/>
        <v>39</v>
      </c>
      <c r="E22" s="310">
        <f t="shared" si="3"/>
        <v>3.0588235294117649E-2</v>
      </c>
      <c r="F22" s="307">
        <f t="shared" si="4"/>
        <v>3058.8235294117649</v>
      </c>
      <c r="G22" s="308">
        <f t="shared" si="5"/>
        <v>58117.647058823524</v>
      </c>
      <c r="H22" s="293"/>
      <c r="I22" s="305">
        <f t="shared" si="6"/>
        <v>12</v>
      </c>
      <c r="J22" s="311">
        <v>0.35897435897435886</v>
      </c>
    </row>
    <row r="23" spans="2:10" ht="9.75" customHeight="1">
      <c r="B23" s="305">
        <f t="shared" si="0"/>
        <v>13</v>
      </c>
      <c r="C23" s="306">
        <f t="shared" si="1"/>
        <v>91</v>
      </c>
      <c r="D23" s="306">
        <f t="shared" si="2"/>
        <v>38</v>
      </c>
      <c r="E23" s="310">
        <f t="shared" si="3"/>
        <v>2.9803921568627451E-2</v>
      </c>
      <c r="F23" s="307">
        <f t="shared" si="4"/>
        <v>2980.3921568627452</v>
      </c>
      <c r="G23" s="308">
        <f t="shared" si="5"/>
        <v>55137.254901960776</v>
      </c>
      <c r="H23" s="293"/>
      <c r="I23" s="305">
        <f t="shared" si="6"/>
        <v>13</v>
      </c>
      <c r="J23" s="311">
        <v>0.35714285714285704</v>
      </c>
    </row>
    <row r="24" spans="2:10" ht="9.75" customHeight="1">
      <c r="B24" s="305">
        <f t="shared" si="0"/>
        <v>14</v>
      </c>
      <c r="C24" s="306">
        <f t="shared" si="1"/>
        <v>105</v>
      </c>
      <c r="D24" s="306">
        <f t="shared" si="2"/>
        <v>37</v>
      </c>
      <c r="E24" s="310">
        <f t="shared" si="3"/>
        <v>2.9019607843137254E-2</v>
      </c>
      <c r="F24" s="307">
        <f t="shared" si="4"/>
        <v>2901.9607843137255</v>
      </c>
      <c r="G24" s="308">
        <f t="shared" si="5"/>
        <v>52235.294117647049</v>
      </c>
      <c r="H24" s="293"/>
      <c r="I24" s="305">
        <f t="shared" si="6"/>
        <v>14</v>
      </c>
      <c r="J24" s="311">
        <v>0.35555555555555546</v>
      </c>
    </row>
    <row r="25" spans="2:10" ht="9.75" customHeight="1">
      <c r="B25" s="305">
        <f t="shared" si="0"/>
        <v>15</v>
      </c>
      <c r="C25" s="306">
        <f t="shared" si="1"/>
        <v>120</v>
      </c>
      <c r="D25" s="306">
        <f t="shared" si="2"/>
        <v>36</v>
      </c>
      <c r="E25" s="310">
        <f t="shared" si="3"/>
        <v>2.823529411764706E-2</v>
      </c>
      <c r="F25" s="307">
        <f t="shared" si="4"/>
        <v>2823.5294117647059</v>
      </c>
      <c r="G25" s="308">
        <f t="shared" si="5"/>
        <v>49411.764705882342</v>
      </c>
      <c r="H25" s="293"/>
      <c r="I25" s="305">
        <f t="shared" si="6"/>
        <v>15</v>
      </c>
      <c r="J25" s="311">
        <v>0.35416666666666674</v>
      </c>
    </row>
    <row r="26" spans="2:10" ht="9.75" customHeight="1">
      <c r="B26" s="305">
        <f t="shared" si="0"/>
        <v>16</v>
      </c>
      <c r="C26" s="306">
        <f t="shared" si="1"/>
        <v>136</v>
      </c>
      <c r="D26" s="306">
        <f t="shared" si="2"/>
        <v>35</v>
      </c>
      <c r="E26" s="310">
        <f t="shared" si="3"/>
        <v>2.7450980392156862E-2</v>
      </c>
      <c r="F26" s="307">
        <f t="shared" si="4"/>
        <v>2745.0980392156862</v>
      </c>
      <c r="G26" s="308">
        <f t="shared" si="5"/>
        <v>46666.666666666657</v>
      </c>
      <c r="H26" s="293"/>
      <c r="I26" s="305">
        <f t="shared" si="6"/>
        <v>16</v>
      </c>
      <c r="J26" s="311">
        <v>0.35294117647058826</v>
      </c>
    </row>
    <row r="27" spans="2:10" ht="9.75" customHeight="1">
      <c r="B27" s="305">
        <f t="shared" si="0"/>
        <v>17</v>
      </c>
      <c r="C27" s="306">
        <f t="shared" si="1"/>
        <v>153</v>
      </c>
      <c r="D27" s="306">
        <f t="shared" si="2"/>
        <v>34</v>
      </c>
      <c r="E27" s="310">
        <f t="shared" si="3"/>
        <v>2.6666666666666668E-2</v>
      </c>
      <c r="F27" s="307">
        <f t="shared" si="4"/>
        <v>2666.666666666667</v>
      </c>
      <c r="G27" s="308">
        <f t="shared" si="5"/>
        <v>43999.999999999993</v>
      </c>
      <c r="H27" s="293"/>
      <c r="I27" s="305">
        <f t="shared" si="6"/>
        <v>17</v>
      </c>
      <c r="J27" s="311">
        <v>0.35185185185185197</v>
      </c>
    </row>
    <row r="28" spans="2:10" ht="9.75" customHeight="1">
      <c r="B28" s="305">
        <f t="shared" si="0"/>
        <v>18</v>
      </c>
      <c r="C28" s="306">
        <f t="shared" si="1"/>
        <v>171</v>
      </c>
      <c r="D28" s="306">
        <f t="shared" si="2"/>
        <v>33</v>
      </c>
      <c r="E28" s="310">
        <f t="shared" si="3"/>
        <v>2.5882352941176471E-2</v>
      </c>
      <c r="F28" s="307">
        <f t="shared" si="4"/>
        <v>2588.2352941176473</v>
      </c>
      <c r="G28" s="308">
        <f t="shared" si="5"/>
        <v>41411.764705882342</v>
      </c>
      <c r="H28" s="293"/>
      <c r="I28" s="305">
        <f t="shared" si="6"/>
        <v>18</v>
      </c>
      <c r="J28" s="311">
        <v>0.35087719298245601</v>
      </c>
    </row>
    <row r="29" spans="2:10" ht="9.75" customHeight="1">
      <c r="B29" s="305">
        <f t="shared" si="0"/>
        <v>19</v>
      </c>
      <c r="C29" s="306">
        <f t="shared" si="1"/>
        <v>190</v>
      </c>
      <c r="D29" s="306">
        <f t="shared" si="2"/>
        <v>32</v>
      </c>
      <c r="E29" s="310">
        <f t="shared" si="3"/>
        <v>2.5098039215686273E-2</v>
      </c>
      <c r="F29" s="307">
        <f t="shared" si="4"/>
        <v>2509.8039215686272</v>
      </c>
      <c r="G29" s="308">
        <f t="shared" si="5"/>
        <v>38901.960784313713</v>
      </c>
      <c r="H29" s="293"/>
      <c r="I29" s="305">
        <f t="shared" si="6"/>
        <v>19</v>
      </c>
      <c r="J29" s="311">
        <v>0.35000000000000009</v>
      </c>
    </row>
    <row r="30" spans="2:10" ht="9.75" customHeight="1">
      <c r="B30" s="305">
        <f t="shared" si="0"/>
        <v>20</v>
      </c>
      <c r="C30" s="306">
        <f t="shared" si="1"/>
        <v>210</v>
      </c>
      <c r="D30" s="306">
        <f t="shared" si="2"/>
        <v>31</v>
      </c>
      <c r="E30" s="310">
        <f t="shared" si="3"/>
        <v>2.4313725490196079E-2</v>
      </c>
      <c r="F30" s="307">
        <f t="shared" si="4"/>
        <v>2431.372549019608</v>
      </c>
      <c r="G30" s="308">
        <f t="shared" si="5"/>
        <v>36470.588235294104</v>
      </c>
      <c r="H30" s="293"/>
      <c r="I30" s="305">
        <f t="shared" si="6"/>
        <v>20</v>
      </c>
      <c r="J30" s="311">
        <v>0.34920634920634935</v>
      </c>
    </row>
    <row r="31" spans="2:10" ht="9.75" customHeight="1">
      <c r="B31" s="305">
        <f t="shared" si="0"/>
        <v>21</v>
      </c>
      <c r="C31" s="306">
        <f t="shared" si="1"/>
        <v>231</v>
      </c>
      <c r="D31" s="306">
        <f t="shared" si="2"/>
        <v>30</v>
      </c>
      <c r="E31" s="310">
        <f t="shared" si="3"/>
        <v>2.3529411764705882E-2</v>
      </c>
      <c r="F31" s="307">
        <f t="shared" si="4"/>
        <v>2352.9411764705883</v>
      </c>
      <c r="G31" s="308">
        <f t="shared" si="5"/>
        <v>34117.647058823517</v>
      </c>
      <c r="H31" s="293"/>
      <c r="I31" s="305">
        <f t="shared" si="6"/>
        <v>21</v>
      </c>
      <c r="J31" s="311">
        <v>0.34848484848484856</v>
      </c>
    </row>
    <row r="32" spans="2:10" ht="9.75" customHeight="1">
      <c r="B32" s="305">
        <f t="shared" si="0"/>
        <v>22</v>
      </c>
      <c r="C32" s="306">
        <f t="shared" si="1"/>
        <v>253</v>
      </c>
      <c r="D32" s="306">
        <f t="shared" si="2"/>
        <v>29</v>
      </c>
      <c r="E32" s="310">
        <f t="shared" si="3"/>
        <v>2.2745098039215685E-2</v>
      </c>
      <c r="F32" s="307">
        <f t="shared" si="4"/>
        <v>2274.5098039215686</v>
      </c>
      <c r="G32" s="308">
        <f t="shared" si="5"/>
        <v>31843.137254901947</v>
      </c>
      <c r="H32" s="293"/>
      <c r="I32" s="305">
        <f t="shared" si="6"/>
        <v>22</v>
      </c>
      <c r="J32" s="311">
        <v>0.34782608695652178</v>
      </c>
    </row>
    <row r="33" spans="2:10" ht="9.75" customHeight="1">
      <c r="B33" s="305">
        <f t="shared" si="0"/>
        <v>23</v>
      </c>
      <c r="C33" s="306">
        <f t="shared" si="1"/>
        <v>276</v>
      </c>
      <c r="D33" s="306">
        <f t="shared" si="2"/>
        <v>28</v>
      </c>
      <c r="E33" s="310">
        <f t="shared" si="3"/>
        <v>2.1960784313725491E-2</v>
      </c>
      <c r="F33" s="307">
        <f t="shared" si="4"/>
        <v>2196.0784313725489</v>
      </c>
      <c r="G33" s="308">
        <f t="shared" si="5"/>
        <v>29647.058823529398</v>
      </c>
      <c r="H33" s="293"/>
      <c r="I33" s="305">
        <f t="shared" si="6"/>
        <v>23</v>
      </c>
      <c r="J33" s="311">
        <v>0.34722222222222227</v>
      </c>
    </row>
    <row r="34" spans="2:10" ht="9.75" customHeight="1">
      <c r="B34" s="305">
        <f t="shared" si="0"/>
        <v>24</v>
      </c>
      <c r="C34" s="306">
        <f t="shared" si="1"/>
        <v>300</v>
      </c>
      <c r="D34" s="306">
        <f t="shared" si="2"/>
        <v>27</v>
      </c>
      <c r="E34" s="310">
        <f t="shared" si="3"/>
        <v>2.1176470588235293E-2</v>
      </c>
      <c r="F34" s="307">
        <f t="shared" si="4"/>
        <v>2117.6470588235293</v>
      </c>
      <c r="G34" s="308">
        <f t="shared" si="5"/>
        <v>27529.41176470587</v>
      </c>
      <c r="H34" s="293"/>
      <c r="I34" s="305">
        <f t="shared" si="6"/>
        <v>24</v>
      </c>
      <c r="J34" s="311">
        <v>0.34666666666666673</v>
      </c>
    </row>
    <row r="35" spans="2:10" ht="9.75" customHeight="1">
      <c r="B35" s="305">
        <f t="shared" si="0"/>
        <v>25</v>
      </c>
      <c r="C35" s="306">
        <f t="shared" si="1"/>
        <v>325</v>
      </c>
      <c r="D35" s="306">
        <f t="shared" si="2"/>
        <v>26</v>
      </c>
      <c r="E35" s="310">
        <f t="shared" si="3"/>
        <v>2.0392156862745099E-2</v>
      </c>
      <c r="F35" s="307">
        <f t="shared" si="4"/>
        <v>2039.2156862745098</v>
      </c>
      <c r="G35" s="308">
        <f t="shared" si="5"/>
        <v>25490.19607843136</v>
      </c>
      <c r="H35" s="293"/>
      <c r="I35" s="305">
        <f t="shared" si="6"/>
        <v>25</v>
      </c>
      <c r="J35" s="311">
        <v>0.34615384615384615</v>
      </c>
    </row>
    <row r="36" spans="2:10" ht="9.75" customHeight="1">
      <c r="B36" s="305">
        <f t="shared" si="0"/>
        <v>26</v>
      </c>
      <c r="C36" s="306">
        <f t="shared" si="1"/>
        <v>351</v>
      </c>
      <c r="D36" s="306">
        <f t="shared" si="2"/>
        <v>25</v>
      </c>
      <c r="E36" s="310">
        <f t="shared" si="3"/>
        <v>1.9607843137254902E-2</v>
      </c>
      <c r="F36" s="307">
        <f t="shared" si="4"/>
        <v>1960.7843137254902</v>
      </c>
      <c r="G36" s="308">
        <f t="shared" si="5"/>
        <v>23529.41176470587</v>
      </c>
      <c r="H36" s="293"/>
      <c r="I36" s="305">
        <f t="shared" si="6"/>
        <v>26</v>
      </c>
      <c r="J36" s="311">
        <v>0.34567901234567894</v>
      </c>
    </row>
    <row r="37" spans="2:10" ht="9.75" customHeight="1">
      <c r="B37" s="305">
        <f t="shared" si="0"/>
        <v>27</v>
      </c>
      <c r="C37" s="306">
        <f t="shared" si="1"/>
        <v>378</v>
      </c>
      <c r="D37" s="306">
        <f t="shared" si="2"/>
        <v>24</v>
      </c>
      <c r="E37" s="310">
        <f t="shared" si="3"/>
        <v>1.8823529411764704E-2</v>
      </c>
      <c r="F37" s="307">
        <f t="shared" si="4"/>
        <v>1882.3529411764705</v>
      </c>
      <c r="G37" s="308">
        <f t="shared" si="5"/>
        <v>21647.058823529398</v>
      </c>
      <c r="H37" s="293"/>
      <c r="I37" s="305">
        <f t="shared" si="6"/>
        <v>27</v>
      </c>
      <c r="J37" s="311">
        <v>0.34523809523809512</v>
      </c>
    </row>
    <row r="38" spans="2:10" ht="9.75" customHeight="1">
      <c r="B38" s="305">
        <f t="shared" si="0"/>
        <v>28</v>
      </c>
      <c r="C38" s="306">
        <f t="shared" si="1"/>
        <v>406</v>
      </c>
      <c r="D38" s="306">
        <f t="shared" si="2"/>
        <v>23</v>
      </c>
      <c r="E38" s="310">
        <f t="shared" si="3"/>
        <v>1.803921568627451E-2</v>
      </c>
      <c r="F38" s="307">
        <f t="shared" si="4"/>
        <v>1803.9215686274511</v>
      </c>
      <c r="G38" s="308">
        <f t="shared" si="5"/>
        <v>19843.137254901947</v>
      </c>
      <c r="H38" s="293"/>
      <c r="I38" s="305">
        <f t="shared" si="6"/>
        <v>28</v>
      </c>
      <c r="J38" s="311">
        <v>0.34482758620689646</v>
      </c>
    </row>
    <row r="39" spans="2:10" ht="9.75" customHeight="1">
      <c r="B39" s="305">
        <f t="shared" si="0"/>
        <v>29</v>
      </c>
      <c r="C39" s="306">
        <f t="shared" si="1"/>
        <v>435</v>
      </c>
      <c r="D39" s="306">
        <f t="shared" si="2"/>
        <v>22</v>
      </c>
      <c r="E39" s="310">
        <f t="shared" si="3"/>
        <v>1.7254901960784313E-2</v>
      </c>
      <c r="F39" s="307">
        <f t="shared" si="4"/>
        <v>1725.4901960784314</v>
      </c>
      <c r="G39" s="308">
        <f t="shared" si="5"/>
        <v>18117.647058823517</v>
      </c>
      <c r="H39" s="293"/>
      <c r="I39" s="305">
        <f t="shared" si="6"/>
        <v>29</v>
      </c>
      <c r="J39" s="311">
        <v>0.34444444444444444</v>
      </c>
    </row>
    <row r="40" spans="2:10" ht="9.75" customHeight="1">
      <c r="B40" s="305">
        <f t="shared" si="0"/>
        <v>30</v>
      </c>
      <c r="C40" s="306">
        <f t="shared" si="1"/>
        <v>465</v>
      </c>
      <c r="D40" s="306">
        <f t="shared" si="2"/>
        <v>21</v>
      </c>
      <c r="E40" s="310">
        <f t="shared" si="3"/>
        <v>1.6470588235294119E-2</v>
      </c>
      <c r="F40" s="307">
        <f t="shared" si="4"/>
        <v>1647.0588235294119</v>
      </c>
      <c r="G40" s="308">
        <f t="shared" si="5"/>
        <v>16470.588235294104</v>
      </c>
      <c r="H40" s="293"/>
      <c r="I40" s="305">
        <f t="shared" si="6"/>
        <v>30</v>
      </c>
      <c r="J40" s="311">
        <v>0.34408602150537632</v>
      </c>
    </row>
    <row r="41" spans="2:10" ht="9.75" customHeight="1">
      <c r="B41" s="305">
        <f t="shared" si="0"/>
        <v>31</v>
      </c>
      <c r="C41" s="306">
        <f t="shared" si="1"/>
        <v>496</v>
      </c>
      <c r="D41" s="306">
        <f t="shared" si="2"/>
        <v>20</v>
      </c>
      <c r="E41" s="310">
        <f t="shared" si="3"/>
        <v>1.5686274509803921E-2</v>
      </c>
      <c r="F41" s="307">
        <f t="shared" si="4"/>
        <v>1568.627450980392</v>
      </c>
      <c r="G41" s="308">
        <f t="shared" si="5"/>
        <v>14901.960784313713</v>
      </c>
      <c r="H41" s="293"/>
      <c r="I41" s="305">
        <f t="shared" si="6"/>
        <v>31</v>
      </c>
      <c r="J41" s="311">
        <v>0.34375000000000006</v>
      </c>
    </row>
    <row r="42" spans="2:10" ht="9.75" customHeight="1">
      <c r="B42" s="305">
        <f t="shared" si="0"/>
        <v>32</v>
      </c>
      <c r="C42" s="306">
        <f t="shared" si="1"/>
        <v>528</v>
      </c>
      <c r="D42" s="306">
        <f t="shared" si="2"/>
        <v>19</v>
      </c>
      <c r="E42" s="310">
        <f t="shared" si="3"/>
        <v>1.4901960784313726E-2</v>
      </c>
      <c r="F42" s="307">
        <f t="shared" si="4"/>
        <v>1490.1960784313726</v>
      </c>
      <c r="G42" s="308">
        <f t="shared" si="5"/>
        <v>13411.76470588234</v>
      </c>
      <c r="H42" s="293"/>
      <c r="I42" s="305">
        <f t="shared" si="6"/>
        <v>32</v>
      </c>
      <c r="J42" s="311">
        <v>0.34343434343434348</v>
      </c>
    </row>
    <row r="43" spans="2:10" ht="9.75" customHeight="1">
      <c r="B43" s="305">
        <f t="shared" ref="B43:B60" si="7">B42+1</f>
        <v>33</v>
      </c>
      <c r="C43" s="306">
        <f t="shared" ref="C43:C60" si="8">C42+B43</f>
        <v>561</v>
      </c>
      <c r="D43" s="306">
        <f t="shared" ref="D43:D60" si="9">IF(B43&gt;$C$5,0,$C$5-B42)</f>
        <v>18</v>
      </c>
      <c r="E43" s="310">
        <f t="shared" ref="E43:E60" si="10">IF(D43=0,0,D43/$C$6)</f>
        <v>1.411764705882353E-2</v>
      </c>
      <c r="F43" s="307">
        <f t="shared" ref="F43:F60" si="11">E43*$C$4</f>
        <v>1411.7647058823529</v>
      </c>
      <c r="G43" s="308">
        <f t="shared" ref="G43:G60" si="12">G42-F43</f>
        <v>11999.999999999987</v>
      </c>
      <c r="H43" s="293"/>
      <c r="I43" s="305">
        <f t="shared" si="6"/>
        <v>33</v>
      </c>
      <c r="J43" s="311">
        <v>0.34313725490196084</v>
      </c>
    </row>
    <row r="44" spans="2:10" ht="9.75" customHeight="1">
      <c r="B44" s="305">
        <f t="shared" si="7"/>
        <v>34</v>
      </c>
      <c r="C44" s="306">
        <f t="shared" si="8"/>
        <v>595</v>
      </c>
      <c r="D44" s="306">
        <f t="shared" si="9"/>
        <v>17</v>
      </c>
      <c r="E44" s="310">
        <f t="shared" si="10"/>
        <v>1.3333333333333334E-2</v>
      </c>
      <c r="F44" s="307">
        <f t="shared" si="11"/>
        <v>1333.3333333333335</v>
      </c>
      <c r="G44" s="308">
        <f t="shared" si="12"/>
        <v>10666.666666666653</v>
      </c>
      <c r="H44" s="293"/>
      <c r="I44" s="305">
        <f t="shared" ref="I44:I60" si="13">I43+1</f>
        <v>34</v>
      </c>
      <c r="J44" s="311">
        <v>0.3428571428571428</v>
      </c>
    </row>
    <row r="45" spans="2:10" ht="9.75" customHeight="1">
      <c r="B45" s="305">
        <f t="shared" si="7"/>
        <v>35</v>
      </c>
      <c r="C45" s="306">
        <f t="shared" si="8"/>
        <v>630</v>
      </c>
      <c r="D45" s="306">
        <f t="shared" si="9"/>
        <v>16</v>
      </c>
      <c r="E45" s="310">
        <f t="shared" si="10"/>
        <v>1.2549019607843137E-2</v>
      </c>
      <c r="F45" s="307">
        <f t="shared" si="11"/>
        <v>1254.9019607843136</v>
      </c>
      <c r="G45" s="308">
        <f t="shared" si="12"/>
        <v>9411.7647058823404</v>
      </c>
      <c r="H45" s="293"/>
      <c r="I45" s="305">
        <f t="shared" si="13"/>
        <v>35</v>
      </c>
      <c r="J45" s="311">
        <v>0.3425925925925925</v>
      </c>
    </row>
    <row r="46" spans="2:10" ht="9.75" customHeight="1">
      <c r="B46" s="305">
        <f t="shared" si="7"/>
        <v>36</v>
      </c>
      <c r="C46" s="306">
        <f t="shared" si="8"/>
        <v>666</v>
      </c>
      <c r="D46" s="306">
        <f t="shared" si="9"/>
        <v>15</v>
      </c>
      <c r="E46" s="310">
        <f t="shared" si="10"/>
        <v>1.1764705882352941E-2</v>
      </c>
      <c r="F46" s="307">
        <f t="shared" si="11"/>
        <v>1176.4705882352941</v>
      </c>
      <c r="G46" s="308">
        <f t="shared" si="12"/>
        <v>8235.2941176470467</v>
      </c>
      <c r="H46" s="293"/>
      <c r="I46" s="305">
        <f t="shared" si="13"/>
        <v>36</v>
      </c>
      <c r="J46" s="311">
        <v>0.34234234234234229</v>
      </c>
    </row>
    <row r="47" spans="2:10" ht="9.75" customHeight="1">
      <c r="B47" s="305">
        <f t="shared" si="7"/>
        <v>37</v>
      </c>
      <c r="C47" s="306">
        <f t="shared" si="8"/>
        <v>703</v>
      </c>
      <c r="D47" s="306">
        <f t="shared" si="9"/>
        <v>14</v>
      </c>
      <c r="E47" s="310">
        <f t="shared" si="10"/>
        <v>1.0980392156862745E-2</v>
      </c>
      <c r="F47" s="307">
        <f t="shared" si="11"/>
        <v>1098.0392156862745</v>
      </c>
      <c r="G47" s="308">
        <f t="shared" si="12"/>
        <v>7137.2549019607723</v>
      </c>
      <c r="H47" s="293"/>
      <c r="I47" s="305">
        <f t="shared" si="13"/>
        <v>37</v>
      </c>
      <c r="J47" s="311">
        <v>0.34210526315789463</v>
      </c>
    </row>
    <row r="48" spans="2:10" ht="9.75" customHeight="1">
      <c r="B48" s="305">
        <f t="shared" si="7"/>
        <v>38</v>
      </c>
      <c r="C48" s="306">
        <f t="shared" si="8"/>
        <v>741</v>
      </c>
      <c r="D48" s="306">
        <f t="shared" si="9"/>
        <v>13</v>
      </c>
      <c r="E48" s="310">
        <f t="shared" si="10"/>
        <v>1.019607843137255E-2</v>
      </c>
      <c r="F48" s="307">
        <f t="shared" si="11"/>
        <v>1019.6078431372549</v>
      </c>
      <c r="G48" s="308">
        <f t="shared" si="12"/>
        <v>6117.647058823517</v>
      </c>
      <c r="H48" s="293"/>
      <c r="I48" s="305">
        <f t="shared" si="13"/>
        <v>38</v>
      </c>
      <c r="J48" s="311">
        <v>0.34188034188034216</v>
      </c>
    </row>
    <row r="49" spans="2:10" ht="9.75" customHeight="1">
      <c r="B49" s="305">
        <f t="shared" si="7"/>
        <v>39</v>
      </c>
      <c r="C49" s="306">
        <f t="shared" si="8"/>
        <v>780</v>
      </c>
      <c r="D49" s="306">
        <f t="shared" si="9"/>
        <v>12</v>
      </c>
      <c r="E49" s="310">
        <f t="shared" si="10"/>
        <v>9.4117647058823521E-3</v>
      </c>
      <c r="F49" s="307">
        <f t="shared" si="11"/>
        <v>941.17647058823525</v>
      </c>
      <c r="G49" s="308">
        <f t="shared" si="12"/>
        <v>5176.4705882352819</v>
      </c>
      <c r="H49" s="293"/>
      <c r="I49" s="305">
        <f t="shared" si="13"/>
        <v>39</v>
      </c>
      <c r="J49" s="311">
        <v>0.34166666666666673</v>
      </c>
    </row>
    <row r="50" spans="2:10" ht="9.75" customHeight="1">
      <c r="B50" s="305">
        <f t="shared" si="7"/>
        <v>40</v>
      </c>
      <c r="C50" s="306">
        <f t="shared" si="8"/>
        <v>820</v>
      </c>
      <c r="D50" s="306">
        <f t="shared" si="9"/>
        <v>11</v>
      </c>
      <c r="E50" s="310">
        <f t="shared" si="10"/>
        <v>8.6274509803921564E-3</v>
      </c>
      <c r="F50" s="307">
        <f t="shared" si="11"/>
        <v>862.74509803921569</v>
      </c>
      <c r="G50" s="308">
        <f t="shared" si="12"/>
        <v>4313.7254901960659</v>
      </c>
      <c r="H50" s="293"/>
      <c r="I50" s="305">
        <f t="shared" si="13"/>
        <v>40</v>
      </c>
      <c r="J50" s="311">
        <v>0.34146341463414626</v>
      </c>
    </row>
    <row r="51" spans="2:10" ht="9.75" customHeight="1">
      <c r="B51" s="305">
        <f t="shared" si="7"/>
        <v>41</v>
      </c>
      <c r="C51" s="306">
        <f t="shared" si="8"/>
        <v>861</v>
      </c>
      <c r="D51" s="306">
        <f t="shared" si="9"/>
        <v>10</v>
      </c>
      <c r="E51" s="310">
        <f t="shared" si="10"/>
        <v>7.8431372549019607E-3</v>
      </c>
      <c r="F51" s="307">
        <f t="shared" si="11"/>
        <v>784.31372549019602</v>
      </c>
      <c r="G51" s="308">
        <f t="shared" si="12"/>
        <v>3529.4117647058702</v>
      </c>
      <c r="H51" s="293"/>
      <c r="I51" s="305">
        <f t="shared" si="13"/>
        <v>41</v>
      </c>
      <c r="J51" s="311">
        <v>0.34126984126984111</v>
      </c>
    </row>
    <row r="52" spans="2:10" ht="9.75" customHeight="1">
      <c r="B52" s="305">
        <f t="shared" si="7"/>
        <v>42</v>
      </c>
      <c r="C52" s="306">
        <f t="shared" si="8"/>
        <v>903</v>
      </c>
      <c r="D52" s="306">
        <f t="shared" si="9"/>
        <v>9</v>
      </c>
      <c r="E52" s="310">
        <f t="shared" si="10"/>
        <v>7.058823529411765E-3</v>
      </c>
      <c r="F52" s="307">
        <f t="shared" si="11"/>
        <v>705.88235294117646</v>
      </c>
      <c r="G52" s="308">
        <f t="shared" si="12"/>
        <v>2823.5294117646936</v>
      </c>
      <c r="H52" s="293"/>
      <c r="I52" s="305">
        <f t="shared" si="13"/>
        <v>42</v>
      </c>
      <c r="J52" s="311">
        <v>0.3410852713178294</v>
      </c>
    </row>
    <row r="53" spans="2:10" ht="9.75" customHeight="1">
      <c r="B53" s="305">
        <f t="shared" si="7"/>
        <v>43</v>
      </c>
      <c r="C53" s="306">
        <f t="shared" si="8"/>
        <v>946</v>
      </c>
      <c r="D53" s="306">
        <f t="shared" si="9"/>
        <v>8</v>
      </c>
      <c r="E53" s="310">
        <f t="shared" si="10"/>
        <v>6.2745098039215684E-3</v>
      </c>
      <c r="F53" s="307">
        <f t="shared" si="11"/>
        <v>627.45098039215679</v>
      </c>
      <c r="G53" s="308">
        <f t="shared" si="12"/>
        <v>2196.0784313725367</v>
      </c>
      <c r="H53" s="293"/>
      <c r="I53" s="305">
        <f t="shared" si="13"/>
        <v>43</v>
      </c>
      <c r="J53" s="311">
        <v>0.34090909090909083</v>
      </c>
    </row>
    <row r="54" spans="2:10" ht="9.75" customHeight="1">
      <c r="B54" s="305">
        <f t="shared" si="7"/>
        <v>44</v>
      </c>
      <c r="C54" s="306">
        <f t="shared" si="8"/>
        <v>990</v>
      </c>
      <c r="D54" s="306">
        <f t="shared" si="9"/>
        <v>7</v>
      </c>
      <c r="E54" s="310">
        <f t="shared" si="10"/>
        <v>5.4901960784313726E-3</v>
      </c>
      <c r="F54" s="307">
        <f t="shared" si="11"/>
        <v>549.01960784313724</v>
      </c>
      <c r="G54" s="308">
        <f t="shared" si="12"/>
        <v>1647.0588235293994</v>
      </c>
      <c r="H54" s="293"/>
      <c r="I54" s="305">
        <f t="shared" si="13"/>
        <v>44</v>
      </c>
      <c r="J54" s="311">
        <v>0.34074074074074057</v>
      </c>
    </row>
    <row r="55" spans="2:10" ht="9.75" customHeight="1">
      <c r="B55" s="305">
        <f t="shared" si="7"/>
        <v>45</v>
      </c>
      <c r="C55" s="306">
        <f t="shared" si="8"/>
        <v>1035</v>
      </c>
      <c r="D55" s="306">
        <f t="shared" si="9"/>
        <v>6</v>
      </c>
      <c r="E55" s="310">
        <f t="shared" si="10"/>
        <v>4.7058823529411761E-3</v>
      </c>
      <c r="F55" s="307">
        <f t="shared" si="11"/>
        <v>470.58823529411762</v>
      </c>
      <c r="G55" s="308">
        <f t="shared" si="12"/>
        <v>1176.4705882352819</v>
      </c>
      <c r="H55" s="293"/>
      <c r="I55" s="305">
        <f t="shared" si="13"/>
        <v>45</v>
      </c>
      <c r="J55" s="311">
        <v>0.34057971014492761</v>
      </c>
    </row>
    <row r="56" spans="2:10" ht="9.75" customHeight="1">
      <c r="B56" s="305">
        <f t="shared" si="7"/>
        <v>46</v>
      </c>
      <c r="C56" s="306">
        <f t="shared" si="8"/>
        <v>1081</v>
      </c>
      <c r="D56" s="306">
        <f t="shared" si="9"/>
        <v>5</v>
      </c>
      <c r="E56" s="310">
        <f t="shared" si="10"/>
        <v>3.9215686274509803E-3</v>
      </c>
      <c r="F56" s="307">
        <f t="shared" si="11"/>
        <v>392.15686274509801</v>
      </c>
      <c r="G56" s="308">
        <f t="shared" si="12"/>
        <v>784.31372549018386</v>
      </c>
      <c r="H56" s="293"/>
      <c r="I56" s="305">
        <f t="shared" si="13"/>
        <v>46</v>
      </c>
      <c r="J56" s="311">
        <v>0.34042553191489372</v>
      </c>
    </row>
    <row r="57" spans="2:10" ht="9.75" customHeight="1">
      <c r="B57" s="305">
        <f t="shared" si="7"/>
        <v>47</v>
      </c>
      <c r="C57" s="306">
        <f t="shared" si="8"/>
        <v>1128</v>
      </c>
      <c r="D57" s="306">
        <f t="shared" si="9"/>
        <v>4</v>
      </c>
      <c r="E57" s="310">
        <f t="shared" si="10"/>
        <v>3.1372549019607842E-3</v>
      </c>
      <c r="F57" s="307">
        <f t="shared" si="11"/>
        <v>313.7254901960784</v>
      </c>
      <c r="G57" s="308">
        <f t="shared" si="12"/>
        <v>470.58823529410546</v>
      </c>
      <c r="H57" s="293"/>
      <c r="I57" s="305">
        <f t="shared" si="13"/>
        <v>47</v>
      </c>
      <c r="J57" s="311">
        <v>0.3402777777777779</v>
      </c>
    </row>
    <row r="58" spans="2:10" ht="9.75" customHeight="1">
      <c r="B58" s="305">
        <f t="shared" si="7"/>
        <v>48</v>
      </c>
      <c r="C58" s="306">
        <f t="shared" si="8"/>
        <v>1176</v>
      </c>
      <c r="D58" s="306">
        <f t="shared" si="9"/>
        <v>3</v>
      </c>
      <c r="E58" s="310">
        <f t="shared" si="10"/>
        <v>2.352941176470588E-3</v>
      </c>
      <c r="F58" s="307">
        <f t="shared" si="11"/>
        <v>235.29411764705881</v>
      </c>
      <c r="G58" s="308">
        <f t="shared" si="12"/>
        <v>235.29411764704665</v>
      </c>
      <c r="H58" s="293"/>
      <c r="I58" s="305">
        <f t="shared" si="13"/>
        <v>48</v>
      </c>
      <c r="J58" s="311">
        <v>0.34013605442176864</v>
      </c>
    </row>
    <row r="59" spans="2:10" ht="9.75" customHeight="1">
      <c r="B59" s="305">
        <f t="shared" si="7"/>
        <v>49</v>
      </c>
      <c r="C59" s="306">
        <f t="shared" si="8"/>
        <v>1225</v>
      </c>
      <c r="D59" s="306">
        <f t="shared" si="9"/>
        <v>2</v>
      </c>
      <c r="E59" s="310">
        <f t="shared" si="10"/>
        <v>1.5686274509803921E-3</v>
      </c>
      <c r="F59" s="307">
        <f t="shared" si="11"/>
        <v>156.8627450980392</v>
      </c>
      <c r="G59" s="308">
        <f t="shared" si="12"/>
        <v>78.431372549007449</v>
      </c>
      <c r="H59" s="293"/>
      <c r="I59" s="305">
        <f t="shared" si="13"/>
        <v>49</v>
      </c>
      <c r="J59" s="311">
        <v>0.34000000000000008</v>
      </c>
    </row>
    <row r="60" spans="2:10" ht="9.75" customHeight="1">
      <c r="B60" s="312">
        <f t="shared" si="7"/>
        <v>50</v>
      </c>
      <c r="C60" s="313">
        <f t="shared" si="8"/>
        <v>1275</v>
      </c>
      <c r="D60" s="313">
        <f t="shared" si="9"/>
        <v>1</v>
      </c>
      <c r="E60" s="314">
        <f t="shared" si="10"/>
        <v>7.8431372549019605E-4</v>
      </c>
      <c r="F60" s="315">
        <f t="shared" si="11"/>
        <v>78.431372549019599</v>
      </c>
      <c r="G60" s="316">
        <f t="shared" si="12"/>
        <v>-1.2150280781497713E-11</v>
      </c>
      <c r="H60" s="293"/>
      <c r="I60" s="312">
        <f t="shared" si="13"/>
        <v>50</v>
      </c>
      <c r="J60" s="317">
        <v>0.33986928104575154</v>
      </c>
    </row>
  </sheetData>
  <phoneticPr fontId="24" type="noConversion"/>
  <pageMargins left="0.86614173228346458" right="0.86614173228346458" top="0.86614173228346458" bottom="0.86614173228346458" header="0.39370078740157483" footer="0.39370078740157483"/>
  <pageSetup paperSize="9" scale="81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X93"/>
  <sheetViews>
    <sheetView showGridLines="0" topLeftCell="B25" zoomScaleNormal="100" workbookViewId="0">
      <selection activeCell="B44" sqref="B44"/>
    </sheetView>
  </sheetViews>
  <sheetFormatPr baseColWidth="10" defaultColWidth="11.44140625" defaultRowHeight="14.4"/>
  <cols>
    <col min="1" max="1" width="2.21875" style="1305" customWidth="1"/>
    <col min="2" max="2" width="11.44140625" style="1305"/>
    <col min="3" max="24" width="7.44140625" style="1305" customWidth="1"/>
    <col min="25" max="16384" width="11.44140625" style="1305"/>
  </cols>
  <sheetData>
    <row r="1" spans="3:23">
      <c r="D1" s="1306"/>
      <c r="E1" s="1306"/>
      <c r="F1" s="1306"/>
      <c r="G1" s="1306"/>
      <c r="H1" s="1306"/>
      <c r="I1" s="1306"/>
      <c r="J1" s="1306"/>
      <c r="K1" s="1306"/>
      <c r="L1" s="1306"/>
      <c r="M1" s="1306"/>
      <c r="N1" s="1306"/>
      <c r="O1" s="1306"/>
      <c r="P1" s="1306"/>
      <c r="Q1" s="1306"/>
      <c r="R1" s="1306"/>
      <c r="S1" s="1306"/>
      <c r="T1" s="1306"/>
      <c r="U1" s="1306"/>
      <c r="V1" s="1306"/>
      <c r="W1" s="1306"/>
    </row>
    <row r="2" spans="3:23">
      <c r="D2" s="1306"/>
      <c r="E2" s="1306"/>
      <c r="F2" s="1306"/>
      <c r="G2" s="1306"/>
      <c r="H2" s="1306"/>
      <c r="I2" s="1306"/>
      <c r="J2" s="1306"/>
      <c r="K2" s="1306"/>
      <c r="L2" s="1306"/>
      <c r="M2" s="1306"/>
      <c r="N2" s="1306"/>
      <c r="O2" s="1306"/>
      <c r="P2" s="1306"/>
      <c r="Q2" s="1306"/>
      <c r="R2" s="1306"/>
      <c r="S2" s="1306"/>
      <c r="T2" s="1306"/>
      <c r="U2" s="1306"/>
      <c r="V2" s="1306"/>
      <c r="W2" s="1306"/>
    </row>
    <row r="3" spans="3:23" ht="17.399999999999999">
      <c r="C3" s="1332" t="s">
        <v>214</v>
      </c>
      <c r="D3" s="1333"/>
      <c r="E3" s="1333"/>
      <c r="F3" s="1333"/>
      <c r="G3" s="1333"/>
      <c r="H3" s="1333"/>
      <c r="I3" s="1333"/>
      <c r="J3" s="1332" t="s">
        <v>213</v>
      </c>
      <c r="K3" s="1333"/>
      <c r="L3" s="1333"/>
      <c r="M3" s="1333"/>
      <c r="N3" s="1333"/>
      <c r="O3" s="1333"/>
      <c r="P3" s="1333"/>
      <c r="Q3" s="1332" t="s">
        <v>1519</v>
      </c>
      <c r="R3" s="1333"/>
      <c r="S3" s="1333"/>
      <c r="T3" s="1333"/>
      <c r="U3" s="1333"/>
      <c r="V3" s="1333"/>
      <c r="W3" s="1306"/>
    </row>
    <row r="4" spans="3:23">
      <c r="D4" s="1306"/>
      <c r="E4" s="1306"/>
      <c r="F4" s="1306"/>
      <c r="G4" s="1306"/>
      <c r="H4" s="1306"/>
      <c r="I4" s="1306"/>
      <c r="J4" s="1306"/>
      <c r="K4" s="1306"/>
      <c r="L4" s="1306"/>
      <c r="M4" s="1306"/>
      <c r="N4" s="1306"/>
      <c r="O4" s="1306"/>
      <c r="P4" s="1306"/>
      <c r="Q4" s="1306"/>
      <c r="R4" s="1306"/>
      <c r="S4" s="1306"/>
      <c r="T4" s="1306"/>
      <c r="U4" s="1306"/>
      <c r="V4" s="1306"/>
      <c r="W4" s="1306"/>
    </row>
    <row r="5" spans="3:23">
      <c r="D5" s="1306"/>
      <c r="E5" s="1306"/>
      <c r="F5" s="1306"/>
      <c r="G5" s="1306"/>
      <c r="H5" s="1306"/>
      <c r="I5" s="1306"/>
      <c r="J5" s="1306"/>
      <c r="K5" s="1306"/>
      <c r="L5" s="1306"/>
      <c r="M5" s="1306"/>
      <c r="N5" s="1306"/>
      <c r="O5" s="1306"/>
      <c r="P5" s="1306"/>
      <c r="Q5" s="1306"/>
      <c r="R5" s="1306"/>
      <c r="S5" s="1306"/>
      <c r="T5" s="1306"/>
      <c r="U5" s="1306"/>
      <c r="V5" s="1306"/>
      <c r="W5" s="1306"/>
    </row>
    <row r="6" spans="3:23">
      <c r="D6" s="1306"/>
      <c r="E6" s="1306"/>
      <c r="F6" s="1306"/>
      <c r="G6" s="1306"/>
      <c r="H6" s="1306"/>
      <c r="I6" s="1306"/>
      <c r="J6" s="1306"/>
      <c r="K6" s="1306"/>
      <c r="L6" s="1306"/>
      <c r="M6" s="1306"/>
      <c r="N6" s="1306"/>
      <c r="O6" s="1306"/>
      <c r="P6" s="1306"/>
      <c r="Q6" s="1306"/>
      <c r="R6" s="1306"/>
      <c r="S6" s="1306"/>
      <c r="T6" s="1306"/>
      <c r="U6" s="1306"/>
      <c r="V6" s="1306"/>
      <c r="W6" s="1306"/>
    </row>
    <row r="7" spans="3:23">
      <c r="D7" s="1306"/>
      <c r="E7" s="1306"/>
      <c r="F7" s="1306"/>
      <c r="G7" s="1306"/>
      <c r="H7" s="1306"/>
      <c r="I7" s="1306"/>
      <c r="J7" s="1306"/>
      <c r="K7" s="1306"/>
      <c r="L7" s="1306"/>
      <c r="M7" s="1306"/>
      <c r="N7" s="1306"/>
      <c r="O7" s="1306"/>
      <c r="P7" s="1306"/>
      <c r="Q7" s="1306"/>
      <c r="R7" s="1306"/>
      <c r="S7" s="1306"/>
      <c r="T7" s="1306"/>
      <c r="U7" s="1306"/>
      <c r="V7" s="1306"/>
      <c r="W7" s="1306"/>
    </row>
    <row r="8" spans="3:23">
      <c r="D8" s="1306"/>
      <c r="E8" s="1306"/>
      <c r="F8" s="1306"/>
      <c r="G8" s="1306"/>
      <c r="H8" s="1306"/>
      <c r="I8" s="1306"/>
      <c r="J8" s="1306"/>
      <c r="K8" s="1306"/>
      <c r="L8" s="1306"/>
      <c r="M8" s="1306"/>
      <c r="N8" s="1306"/>
      <c r="O8" s="1306"/>
      <c r="P8" s="1306"/>
      <c r="Q8" s="1306"/>
      <c r="R8" s="1306"/>
      <c r="S8" s="1306"/>
      <c r="T8" s="1306"/>
      <c r="U8" s="1306"/>
      <c r="V8" s="1306"/>
      <c r="W8" s="1306"/>
    </row>
    <row r="9" spans="3:23">
      <c r="D9" s="1306"/>
      <c r="E9" s="1306"/>
      <c r="F9" s="1306"/>
      <c r="G9" s="1306"/>
      <c r="H9" s="1306"/>
      <c r="I9" s="1306"/>
      <c r="J9" s="1306"/>
      <c r="K9" s="1306"/>
      <c r="L9" s="1306"/>
      <c r="M9" s="1306"/>
      <c r="N9" s="1306"/>
      <c r="O9" s="1306"/>
      <c r="P9" s="1306"/>
      <c r="Q9" s="1306"/>
      <c r="R9" s="1306"/>
      <c r="S9" s="1306"/>
      <c r="T9" s="1306"/>
      <c r="U9" s="1306"/>
      <c r="V9" s="1306"/>
      <c r="W9" s="1306"/>
    </row>
    <row r="10" spans="3:23">
      <c r="D10" s="1306"/>
      <c r="E10" s="1306"/>
      <c r="F10" s="1306"/>
      <c r="G10" s="1306"/>
      <c r="H10" s="1306"/>
      <c r="I10" s="1306"/>
      <c r="J10" s="1306"/>
      <c r="K10" s="1306"/>
      <c r="L10" s="1306"/>
      <c r="M10" s="1306"/>
      <c r="N10" s="1306"/>
      <c r="O10" s="1306"/>
      <c r="P10" s="1306"/>
      <c r="Q10" s="1306"/>
      <c r="R10" s="1306"/>
      <c r="S10" s="1306"/>
      <c r="T10" s="1306"/>
      <c r="U10" s="1306"/>
      <c r="V10" s="1306"/>
      <c r="W10" s="1306"/>
    </row>
    <row r="11" spans="3:23">
      <c r="D11" s="1306"/>
      <c r="E11" s="1306"/>
      <c r="F11" s="1306"/>
      <c r="G11" s="1306"/>
      <c r="H11" s="1306"/>
      <c r="I11" s="1306"/>
      <c r="J11" s="1306"/>
      <c r="K11" s="1306"/>
      <c r="L11" s="1306"/>
      <c r="M11" s="1306"/>
      <c r="N11" s="1306"/>
      <c r="O11" s="1306"/>
      <c r="P11" s="1306"/>
      <c r="Q11" s="1306"/>
      <c r="R11" s="1306"/>
      <c r="S11" s="1306"/>
      <c r="T11" s="1306"/>
      <c r="U11" s="1306"/>
      <c r="V11" s="1306"/>
      <c r="W11" s="1306"/>
    </row>
    <row r="12" spans="3:23">
      <c r="D12" s="1306"/>
      <c r="E12" s="1306"/>
      <c r="F12" s="1306"/>
      <c r="G12" s="1306"/>
      <c r="H12" s="1306"/>
      <c r="I12" s="1306"/>
      <c r="J12" s="1306"/>
      <c r="K12" s="1306"/>
      <c r="L12" s="1306"/>
      <c r="M12" s="1306"/>
      <c r="N12" s="1306"/>
      <c r="O12" s="1306"/>
      <c r="P12" s="1306"/>
      <c r="Q12" s="1306"/>
      <c r="R12" s="1306"/>
      <c r="S12" s="1306"/>
      <c r="T12" s="1306"/>
      <c r="U12" s="1306"/>
      <c r="V12" s="1306"/>
      <c r="W12" s="1306"/>
    </row>
    <row r="13" spans="3:23">
      <c r="D13" s="1306"/>
      <c r="E13" s="1306"/>
      <c r="F13" s="1306"/>
      <c r="G13" s="1306"/>
      <c r="H13" s="1306"/>
      <c r="I13" s="1306"/>
      <c r="J13" s="1306"/>
      <c r="K13" s="1306"/>
      <c r="L13" s="1306"/>
      <c r="M13" s="1306"/>
      <c r="N13" s="1306"/>
      <c r="O13" s="1306"/>
      <c r="P13" s="1306"/>
      <c r="Q13" s="1306"/>
      <c r="R13" s="1306"/>
      <c r="S13" s="1306"/>
      <c r="T13" s="1306"/>
      <c r="U13" s="1306"/>
      <c r="V13" s="1306"/>
      <c r="W13" s="1306"/>
    </row>
    <row r="14" spans="3:23">
      <c r="D14" s="1306"/>
      <c r="E14" s="1306"/>
      <c r="F14" s="1306"/>
      <c r="G14" s="1306"/>
      <c r="H14" s="1306"/>
      <c r="I14" s="1306"/>
      <c r="J14" s="1306"/>
      <c r="K14" s="1306"/>
      <c r="L14" s="1306"/>
      <c r="M14" s="1306"/>
      <c r="N14" s="1306"/>
      <c r="O14" s="1306"/>
      <c r="P14" s="1306"/>
      <c r="Q14" s="1306"/>
      <c r="R14" s="1306"/>
      <c r="S14" s="1306"/>
      <c r="T14" s="1306"/>
      <c r="U14" s="1306"/>
      <c r="V14" s="1306"/>
      <c r="W14" s="1306"/>
    </row>
    <row r="15" spans="3:23">
      <c r="D15" s="1306"/>
      <c r="E15" s="1306"/>
      <c r="F15" s="1306"/>
      <c r="G15" s="1306"/>
      <c r="H15" s="1306"/>
      <c r="I15" s="1306"/>
      <c r="J15" s="1306"/>
      <c r="K15" s="1306"/>
      <c r="L15" s="1306"/>
      <c r="M15" s="1306"/>
      <c r="N15" s="1306"/>
      <c r="O15" s="1306"/>
      <c r="P15" s="1306"/>
      <c r="Q15" s="1306"/>
      <c r="R15" s="1306"/>
      <c r="S15" s="1306"/>
      <c r="T15" s="1306"/>
      <c r="U15" s="1306"/>
      <c r="V15" s="1306"/>
      <c r="W15" s="1306"/>
    </row>
    <row r="16" spans="3:23">
      <c r="D16" s="1306"/>
      <c r="E16" s="1306"/>
      <c r="F16" s="1306"/>
      <c r="G16" s="1306"/>
      <c r="H16" s="1306"/>
      <c r="I16" s="1306"/>
      <c r="J16" s="1306"/>
      <c r="K16" s="1306"/>
      <c r="L16" s="1306"/>
      <c r="M16" s="1306"/>
      <c r="N16" s="1306"/>
      <c r="O16" s="1306"/>
      <c r="P16" s="1306"/>
      <c r="Q16" s="1306"/>
      <c r="R16" s="1306"/>
      <c r="S16" s="1306"/>
      <c r="T16" s="1306"/>
      <c r="U16" s="1306"/>
      <c r="V16" s="1306"/>
      <c r="W16" s="1306"/>
    </row>
    <row r="17" spans="2:23">
      <c r="D17" s="1306"/>
      <c r="E17" s="1306"/>
      <c r="F17" s="1306"/>
      <c r="G17" s="1306"/>
      <c r="H17" s="1306"/>
      <c r="I17" s="1306"/>
      <c r="J17" s="1306"/>
      <c r="K17" s="1306"/>
      <c r="L17" s="1306"/>
      <c r="M17" s="1306"/>
      <c r="N17" s="1306"/>
      <c r="O17" s="1306"/>
      <c r="P17" s="1306"/>
      <c r="Q17" s="1306"/>
      <c r="R17" s="1306"/>
      <c r="S17" s="1306"/>
      <c r="T17" s="1306"/>
      <c r="U17" s="1306"/>
      <c r="V17" s="1306"/>
      <c r="W17" s="1306"/>
    </row>
    <row r="18" spans="2:23">
      <c r="D18" s="1306"/>
      <c r="E18" s="1306"/>
      <c r="F18" s="1306"/>
      <c r="G18" s="1306"/>
      <c r="H18" s="1306"/>
      <c r="I18" s="1306"/>
      <c r="J18" s="1306"/>
      <c r="K18" s="1306"/>
      <c r="L18" s="1306"/>
      <c r="M18" s="1306"/>
      <c r="N18" s="1306"/>
      <c r="O18" s="1306"/>
      <c r="P18" s="1306"/>
      <c r="Q18" s="1306"/>
      <c r="R18" s="1306"/>
      <c r="S18" s="1306"/>
      <c r="T18" s="1306"/>
      <c r="U18" s="1306"/>
      <c r="V18" s="1306"/>
      <c r="W18" s="1306"/>
    </row>
    <row r="19" spans="2:23">
      <c r="D19" s="1306"/>
      <c r="E19" s="1306"/>
      <c r="F19" s="1306"/>
      <c r="G19" s="1306"/>
      <c r="H19" s="1306"/>
      <c r="I19" s="1306"/>
      <c r="J19" s="1306"/>
      <c r="K19" s="1306"/>
      <c r="L19" s="1306"/>
      <c r="M19" s="1306"/>
      <c r="N19" s="1306"/>
      <c r="O19" s="1306"/>
      <c r="P19" s="1306"/>
      <c r="Q19" s="1306"/>
      <c r="R19" s="1306"/>
      <c r="S19" s="1306"/>
      <c r="T19" s="1306"/>
      <c r="U19" s="1306"/>
      <c r="V19" s="1306"/>
      <c r="W19" s="1306"/>
    </row>
    <row r="20" spans="2:23">
      <c r="D20" s="1306"/>
      <c r="E20" s="1306"/>
      <c r="F20" s="1306"/>
      <c r="G20" s="1306"/>
      <c r="H20" s="1306"/>
      <c r="I20" s="1306"/>
      <c r="J20" s="1306"/>
      <c r="K20" s="1306"/>
      <c r="L20" s="1306"/>
      <c r="M20" s="1306"/>
      <c r="N20" s="1306"/>
      <c r="O20" s="1306"/>
      <c r="P20" s="1306"/>
      <c r="Q20" s="1306"/>
      <c r="R20" s="1306"/>
      <c r="S20" s="1306"/>
      <c r="T20" s="1306"/>
      <c r="U20" s="1306"/>
      <c r="V20" s="1306"/>
      <c r="W20" s="1306"/>
    </row>
    <row r="21" spans="2:23">
      <c r="D21" s="1306"/>
      <c r="E21" s="1306"/>
      <c r="F21" s="1306"/>
      <c r="G21" s="1306"/>
      <c r="H21" s="1306"/>
      <c r="I21" s="1306"/>
      <c r="J21" s="1306"/>
      <c r="K21" s="1306"/>
      <c r="L21" s="1306"/>
      <c r="M21" s="1306"/>
      <c r="N21" s="1306"/>
      <c r="O21" s="1306"/>
      <c r="P21" s="1306"/>
      <c r="Q21" s="1306"/>
      <c r="R21" s="1306"/>
      <c r="S21" s="1306"/>
      <c r="T21" s="1306"/>
      <c r="U21" s="1306"/>
      <c r="V21" s="1306"/>
      <c r="W21" s="1306"/>
    </row>
    <row r="22" spans="2:23">
      <c r="D22" s="1306"/>
      <c r="E22" s="1306"/>
      <c r="F22" s="1306"/>
      <c r="G22" s="1306"/>
      <c r="H22" s="1306"/>
      <c r="I22" s="1306"/>
      <c r="J22" s="1306"/>
      <c r="K22" s="1306"/>
      <c r="L22" s="1306"/>
      <c r="M22" s="1306"/>
      <c r="N22" s="1306"/>
      <c r="O22" s="1306"/>
      <c r="P22" s="1306"/>
      <c r="Q22" s="1306"/>
      <c r="R22" s="1306"/>
      <c r="S22" s="1306"/>
      <c r="T22" s="1306"/>
      <c r="U22" s="1306"/>
      <c r="V22" s="1306"/>
      <c r="W22" s="1306"/>
    </row>
    <row r="23" spans="2:23">
      <c r="D23" s="1306"/>
      <c r="E23" s="1306"/>
      <c r="F23" s="1306"/>
      <c r="G23" s="1306"/>
      <c r="H23" s="1306"/>
      <c r="I23" s="1306"/>
      <c r="J23" s="1306"/>
      <c r="K23" s="1306"/>
      <c r="L23" s="1306"/>
      <c r="M23" s="1306"/>
      <c r="N23" s="1306"/>
      <c r="O23" s="1306"/>
      <c r="P23" s="1306"/>
      <c r="Q23" s="1306"/>
      <c r="R23" s="1306"/>
      <c r="S23" s="1306"/>
      <c r="T23" s="1306"/>
      <c r="U23" s="1306"/>
      <c r="V23" s="1306"/>
      <c r="W23" s="1306"/>
    </row>
    <row r="24" spans="2:23">
      <c r="D24" s="1306"/>
      <c r="E24" s="1306"/>
      <c r="F24" s="1306"/>
      <c r="G24" s="1306"/>
      <c r="H24" s="1306"/>
      <c r="I24" s="1306"/>
      <c r="J24" s="1306"/>
      <c r="K24" s="1306"/>
      <c r="L24" s="1306"/>
      <c r="M24" s="1306"/>
      <c r="N24" s="1306"/>
      <c r="O24" s="1306"/>
      <c r="P24" s="1306"/>
      <c r="Q24" s="1306"/>
      <c r="R24" s="1306"/>
      <c r="S24" s="1306"/>
      <c r="T24" s="1306"/>
      <c r="U24" s="1306"/>
      <c r="V24" s="1306"/>
      <c r="W24" s="1306"/>
    </row>
    <row r="25" spans="2:23">
      <c r="D25" s="1306"/>
      <c r="E25" s="1306"/>
      <c r="F25" s="1306"/>
      <c r="G25" s="1306"/>
      <c r="H25" s="1306"/>
      <c r="I25" s="1306"/>
      <c r="J25" s="1306"/>
      <c r="K25" s="1306"/>
      <c r="L25" s="1306"/>
      <c r="M25" s="1306"/>
      <c r="N25" s="1306"/>
      <c r="O25" s="1306"/>
      <c r="P25" s="1306"/>
      <c r="Q25" s="1306"/>
      <c r="R25" s="1306"/>
      <c r="S25" s="1306"/>
      <c r="T25" s="1306"/>
      <c r="U25" s="1306"/>
      <c r="V25" s="1306"/>
      <c r="W25" s="1306"/>
    </row>
    <row r="26" spans="2:23">
      <c r="D26" s="1306"/>
      <c r="E26" s="1306"/>
      <c r="F26" s="1306"/>
      <c r="G26" s="1306"/>
      <c r="H26" s="1306"/>
      <c r="I26" s="1306"/>
      <c r="J26" s="1306"/>
      <c r="K26" s="1306"/>
      <c r="L26" s="1306"/>
      <c r="M26" s="1306"/>
      <c r="N26" s="1306"/>
      <c r="O26" s="1306"/>
      <c r="P26" s="1306"/>
      <c r="Q26" s="1306"/>
      <c r="R26" s="1306"/>
      <c r="S26" s="1306"/>
      <c r="T26" s="1306"/>
      <c r="U26" s="1306"/>
      <c r="V26" s="1306"/>
      <c r="W26" s="1306"/>
    </row>
    <row r="27" spans="2:23" ht="18">
      <c r="B27" s="1328" t="s">
        <v>214</v>
      </c>
      <c r="D27" s="1306"/>
      <c r="E27" s="1306"/>
      <c r="F27" s="1306"/>
      <c r="G27" s="1306"/>
      <c r="H27" s="1306"/>
      <c r="I27" s="1306"/>
      <c r="J27" s="1306"/>
      <c r="K27" s="1306"/>
      <c r="L27" s="1306"/>
      <c r="M27" s="1306"/>
      <c r="N27" s="1306"/>
      <c r="O27" s="1306"/>
      <c r="P27" s="1306"/>
      <c r="Q27" s="1306"/>
      <c r="R27" s="1306"/>
      <c r="S27" s="1306"/>
      <c r="T27" s="1306"/>
      <c r="U27" s="1306"/>
      <c r="V27" s="1306"/>
      <c r="W27" s="1306"/>
    </row>
    <row r="28" spans="2:23">
      <c r="D28" s="1306"/>
      <c r="E28" s="1306"/>
      <c r="F28" s="1306"/>
      <c r="G28" s="1306"/>
      <c r="H28" s="1306"/>
      <c r="I28" s="1306"/>
      <c r="J28" s="1306"/>
      <c r="K28" s="1306"/>
      <c r="L28" s="1306"/>
      <c r="M28" s="1306"/>
      <c r="N28" s="1306"/>
      <c r="O28" s="1306"/>
      <c r="P28" s="1306"/>
      <c r="Q28" s="1306"/>
      <c r="R28" s="1306"/>
      <c r="S28" s="1306"/>
      <c r="T28" s="1306"/>
      <c r="U28" s="1306"/>
      <c r="V28" s="1306"/>
      <c r="W28" s="1306"/>
    </row>
    <row r="29" spans="2:23">
      <c r="B29" s="1324" t="s">
        <v>1517</v>
      </c>
      <c r="C29" s="1319">
        <v>0</v>
      </c>
      <c r="D29" s="1317">
        <f>C29+1</f>
        <v>1</v>
      </c>
      <c r="E29" s="1317">
        <f>D29</f>
        <v>1</v>
      </c>
      <c r="F29" s="1317">
        <f>E29+1</f>
        <v>2</v>
      </c>
      <c r="G29" s="1317">
        <f>F29</f>
        <v>2</v>
      </c>
      <c r="H29" s="1317">
        <f>G29+1</f>
        <v>3</v>
      </c>
      <c r="I29" s="1317">
        <f>H29</f>
        <v>3</v>
      </c>
      <c r="J29" s="1317">
        <f>I29+1</f>
        <v>4</v>
      </c>
      <c r="K29" s="1317">
        <f>J29</f>
        <v>4</v>
      </c>
      <c r="L29" s="1317">
        <f>K29+1</f>
        <v>5</v>
      </c>
      <c r="M29" s="1317">
        <f>L29</f>
        <v>5</v>
      </c>
      <c r="N29" s="1317">
        <f>M29+1</f>
        <v>6</v>
      </c>
      <c r="O29" s="1317">
        <f>N29</f>
        <v>6</v>
      </c>
      <c r="P29" s="1317">
        <f>O29+1</f>
        <v>7</v>
      </c>
      <c r="Q29" s="1317">
        <f>P29</f>
        <v>7</v>
      </c>
      <c r="R29" s="1317">
        <f>Q29+1</f>
        <v>8</v>
      </c>
      <c r="S29" s="1317">
        <f>R29</f>
        <v>8</v>
      </c>
      <c r="T29" s="1317">
        <f>S29+1</f>
        <v>9</v>
      </c>
      <c r="U29" s="1317">
        <f>T29</f>
        <v>9</v>
      </c>
      <c r="V29" s="1317">
        <f>U29+1</f>
        <v>10</v>
      </c>
      <c r="W29" s="1318">
        <f>V29</f>
        <v>10</v>
      </c>
    </row>
    <row r="30" spans="2:23">
      <c r="B30" s="1325" t="s">
        <v>1502</v>
      </c>
      <c r="C30" s="1320">
        <v>100000</v>
      </c>
      <c r="D30" s="1315">
        <f>C30-10000</f>
        <v>90000</v>
      </c>
      <c r="E30" s="1315">
        <f>D30</f>
        <v>90000</v>
      </c>
      <c r="F30" s="1315">
        <f>E30-10000</f>
        <v>80000</v>
      </c>
      <c r="G30" s="1315">
        <f>F30</f>
        <v>80000</v>
      </c>
      <c r="H30" s="1315">
        <f>G30-10000</f>
        <v>70000</v>
      </c>
      <c r="I30" s="1315">
        <f>H30</f>
        <v>70000</v>
      </c>
      <c r="J30" s="1315">
        <f>I30-10000</f>
        <v>60000</v>
      </c>
      <c r="K30" s="1315">
        <f>J30</f>
        <v>60000</v>
      </c>
      <c r="L30" s="1315">
        <f>K30-10000</f>
        <v>50000</v>
      </c>
      <c r="M30" s="1315">
        <f>L30</f>
        <v>50000</v>
      </c>
      <c r="N30" s="1315">
        <f>M30-10000</f>
        <v>40000</v>
      </c>
      <c r="O30" s="1315">
        <f>N30</f>
        <v>40000</v>
      </c>
      <c r="P30" s="1315">
        <f>O30-10000</f>
        <v>30000</v>
      </c>
      <c r="Q30" s="1315">
        <f>P30</f>
        <v>30000</v>
      </c>
      <c r="R30" s="1315">
        <f>Q30-10000</f>
        <v>20000</v>
      </c>
      <c r="S30" s="1315">
        <f>R30</f>
        <v>20000</v>
      </c>
      <c r="T30" s="1315">
        <f>S30-10000</f>
        <v>10000</v>
      </c>
      <c r="U30" s="1315">
        <f>T30</f>
        <v>10000</v>
      </c>
      <c r="V30" s="1315">
        <f>U30-10000</f>
        <v>0</v>
      </c>
      <c r="W30" s="1316">
        <f>V30</f>
        <v>0</v>
      </c>
    </row>
    <row r="31" spans="2:23">
      <c r="B31" s="1326" t="s">
        <v>1503</v>
      </c>
      <c r="C31" s="1321">
        <f>C30</f>
        <v>100000</v>
      </c>
      <c r="D31" s="1309">
        <f>C31</f>
        <v>100000</v>
      </c>
      <c r="E31" s="1309">
        <f>E$30</f>
        <v>90000</v>
      </c>
      <c r="F31" s="1311"/>
      <c r="G31" s="1311"/>
      <c r="H31" s="1311"/>
      <c r="I31" s="1311"/>
      <c r="J31" s="1311"/>
      <c r="K31" s="1311"/>
      <c r="L31" s="1311"/>
      <c r="M31" s="1311"/>
      <c r="N31" s="1311"/>
      <c r="O31" s="1311"/>
      <c r="P31" s="1311"/>
      <c r="Q31" s="1311"/>
      <c r="R31" s="1311"/>
      <c r="S31" s="1311"/>
      <c r="T31" s="1311"/>
      <c r="U31" s="1311"/>
      <c r="V31" s="1311"/>
      <c r="W31" s="1312"/>
    </row>
    <row r="32" spans="2:23">
      <c r="B32" s="1326" t="s">
        <v>1504</v>
      </c>
      <c r="C32" s="1322"/>
      <c r="D32" s="1309"/>
      <c r="E32" s="1309">
        <f>E31</f>
        <v>90000</v>
      </c>
      <c r="F32" s="1309">
        <f>E32</f>
        <v>90000</v>
      </c>
      <c r="G32" s="1309">
        <f>G$30</f>
        <v>80000</v>
      </c>
      <c r="H32" s="1311"/>
      <c r="I32" s="1311"/>
      <c r="J32" s="1311"/>
      <c r="K32" s="1311"/>
      <c r="L32" s="1311"/>
      <c r="M32" s="1311"/>
      <c r="N32" s="1311"/>
      <c r="O32" s="1311"/>
      <c r="P32" s="1311"/>
      <c r="Q32" s="1311"/>
      <c r="R32" s="1311"/>
      <c r="S32" s="1311"/>
      <c r="T32" s="1311"/>
      <c r="U32" s="1311"/>
      <c r="V32" s="1311"/>
      <c r="W32" s="1312"/>
    </row>
    <row r="33" spans="2:23">
      <c r="B33" s="1326" t="s">
        <v>1505</v>
      </c>
      <c r="C33" s="1322"/>
      <c r="D33" s="1309"/>
      <c r="E33" s="1309"/>
      <c r="F33" s="1309"/>
      <c r="G33" s="1309">
        <f>G32</f>
        <v>80000</v>
      </c>
      <c r="H33" s="1309">
        <f>G33</f>
        <v>80000</v>
      </c>
      <c r="I33" s="1309">
        <f>I$30</f>
        <v>70000</v>
      </c>
      <c r="J33" s="1311"/>
      <c r="K33" s="1311"/>
      <c r="L33" s="1311"/>
      <c r="M33" s="1311"/>
      <c r="N33" s="1311"/>
      <c r="O33" s="1311"/>
      <c r="P33" s="1311"/>
      <c r="Q33" s="1311"/>
      <c r="R33" s="1311"/>
      <c r="S33" s="1311"/>
      <c r="T33" s="1311"/>
      <c r="U33" s="1311"/>
      <c r="V33" s="1311"/>
      <c r="W33" s="1312"/>
    </row>
    <row r="34" spans="2:23">
      <c r="B34" s="1326" t="s">
        <v>1506</v>
      </c>
      <c r="C34" s="1322"/>
      <c r="D34" s="1309"/>
      <c r="E34" s="1309"/>
      <c r="F34" s="1309"/>
      <c r="G34" s="1309"/>
      <c r="H34" s="1311"/>
      <c r="I34" s="1309">
        <f>I33</f>
        <v>70000</v>
      </c>
      <c r="J34" s="1309">
        <f>I34</f>
        <v>70000</v>
      </c>
      <c r="K34" s="1309">
        <f>K$30</f>
        <v>60000</v>
      </c>
      <c r="L34" s="1311"/>
      <c r="M34" s="1311"/>
      <c r="N34" s="1311"/>
      <c r="O34" s="1311"/>
      <c r="P34" s="1311"/>
      <c r="Q34" s="1311"/>
      <c r="R34" s="1311"/>
      <c r="S34" s="1311"/>
      <c r="T34" s="1311"/>
      <c r="U34" s="1311"/>
      <c r="V34" s="1311"/>
      <c r="W34" s="1312"/>
    </row>
    <row r="35" spans="2:23">
      <c r="B35" s="1326" t="s">
        <v>1507</v>
      </c>
      <c r="C35" s="1322"/>
      <c r="D35" s="1309"/>
      <c r="E35" s="1309"/>
      <c r="F35" s="1309"/>
      <c r="G35" s="1309"/>
      <c r="H35" s="1311"/>
      <c r="I35" s="1311"/>
      <c r="J35" s="1311"/>
      <c r="K35" s="1309">
        <f>K34</f>
        <v>60000</v>
      </c>
      <c r="L35" s="1309">
        <f>K35</f>
        <v>60000</v>
      </c>
      <c r="M35" s="1309">
        <f>M$30</f>
        <v>50000</v>
      </c>
      <c r="N35" s="1311"/>
      <c r="O35" s="1311"/>
      <c r="P35" s="1311"/>
      <c r="Q35" s="1311"/>
      <c r="R35" s="1311"/>
      <c r="S35" s="1311"/>
      <c r="T35" s="1311"/>
      <c r="U35" s="1311"/>
      <c r="V35" s="1311"/>
      <c r="W35" s="1312"/>
    </row>
    <row r="36" spans="2:23">
      <c r="B36" s="1326" t="s">
        <v>1508</v>
      </c>
      <c r="C36" s="1322"/>
      <c r="D36" s="1309"/>
      <c r="E36" s="1309"/>
      <c r="F36" s="1309"/>
      <c r="G36" s="1309"/>
      <c r="H36" s="1311"/>
      <c r="I36" s="1311"/>
      <c r="J36" s="1311"/>
      <c r="K36" s="1311"/>
      <c r="L36" s="1311"/>
      <c r="M36" s="1309">
        <f>M35</f>
        <v>50000</v>
      </c>
      <c r="N36" s="1309">
        <f>M36</f>
        <v>50000</v>
      </c>
      <c r="O36" s="1309">
        <f>O$30</f>
        <v>40000</v>
      </c>
      <c r="P36" s="1311"/>
      <c r="Q36" s="1311"/>
      <c r="R36" s="1311"/>
      <c r="S36" s="1311"/>
      <c r="T36" s="1311"/>
      <c r="U36" s="1311"/>
      <c r="V36" s="1311"/>
      <c r="W36" s="1312"/>
    </row>
    <row r="37" spans="2:23">
      <c r="B37" s="1326" t="s">
        <v>1509</v>
      </c>
      <c r="C37" s="1322"/>
      <c r="D37" s="1309"/>
      <c r="E37" s="1309"/>
      <c r="F37" s="1309"/>
      <c r="G37" s="1309"/>
      <c r="H37" s="1311"/>
      <c r="I37" s="1311"/>
      <c r="J37" s="1311"/>
      <c r="K37" s="1311"/>
      <c r="L37" s="1311"/>
      <c r="M37" s="1311"/>
      <c r="N37" s="1311"/>
      <c r="O37" s="1309">
        <f>O36</f>
        <v>40000</v>
      </c>
      <c r="P37" s="1309">
        <f>O37</f>
        <v>40000</v>
      </c>
      <c r="Q37" s="1309">
        <f>Q$30</f>
        <v>30000</v>
      </c>
      <c r="R37" s="1311"/>
      <c r="S37" s="1311"/>
      <c r="T37" s="1311"/>
      <c r="U37" s="1311"/>
      <c r="V37" s="1311"/>
      <c r="W37" s="1312"/>
    </row>
    <row r="38" spans="2:23">
      <c r="B38" s="1326" t="s">
        <v>1510</v>
      </c>
      <c r="C38" s="1322"/>
      <c r="D38" s="1311"/>
      <c r="E38" s="1311"/>
      <c r="F38" s="1311"/>
      <c r="G38" s="1311"/>
      <c r="H38" s="1311"/>
      <c r="I38" s="1311"/>
      <c r="J38" s="1311"/>
      <c r="K38" s="1311"/>
      <c r="L38" s="1311"/>
      <c r="M38" s="1311"/>
      <c r="N38" s="1311"/>
      <c r="O38" s="1311"/>
      <c r="P38" s="1311"/>
      <c r="Q38" s="1309">
        <f>Q37</f>
        <v>30000</v>
      </c>
      <c r="R38" s="1309">
        <f>Q38</f>
        <v>30000</v>
      </c>
      <c r="S38" s="1309">
        <f>S$30</f>
        <v>20000</v>
      </c>
      <c r="T38" s="1311"/>
      <c r="U38" s="1311"/>
      <c r="V38" s="1311"/>
      <c r="W38" s="1312"/>
    </row>
    <row r="39" spans="2:23">
      <c r="B39" s="1326" t="s">
        <v>1511</v>
      </c>
      <c r="C39" s="1322"/>
      <c r="D39" s="1311"/>
      <c r="E39" s="1311"/>
      <c r="F39" s="1311"/>
      <c r="G39" s="1311"/>
      <c r="H39" s="1311"/>
      <c r="I39" s="1311"/>
      <c r="J39" s="1311"/>
      <c r="K39" s="1311"/>
      <c r="L39" s="1311"/>
      <c r="M39" s="1311"/>
      <c r="N39" s="1311"/>
      <c r="O39" s="1311"/>
      <c r="P39" s="1311"/>
      <c r="Q39" s="1311"/>
      <c r="R39" s="1311"/>
      <c r="S39" s="1309">
        <f>S38</f>
        <v>20000</v>
      </c>
      <c r="T39" s="1309">
        <f>S39</f>
        <v>20000</v>
      </c>
      <c r="U39" s="1309">
        <f>U$30</f>
        <v>10000</v>
      </c>
      <c r="V39" s="1311"/>
      <c r="W39" s="1312"/>
    </row>
    <row r="40" spans="2:23">
      <c r="B40" s="1326" t="s">
        <v>1512</v>
      </c>
      <c r="C40" s="1322"/>
      <c r="D40" s="1311"/>
      <c r="E40" s="1311"/>
      <c r="F40" s="1311"/>
      <c r="G40" s="1311"/>
      <c r="H40" s="1311"/>
      <c r="I40" s="1311"/>
      <c r="J40" s="1311"/>
      <c r="K40" s="1311"/>
      <c r="L40" s="1311"/>
      <c r="M40" s="1311"/>
      <c r="N40" s="1311"/>
      <c r="O40" s="1311"/>
      <c r="P40" s="1311"/>
      <c r="Q40" s="1311"/>
      <c r="R40" s="1311"/>
      <c r="S40" s="1311"/>
      <c r="T40" s="1311"/>
      <c r="U40" s="1309">
        <f>U39</f>
        <v>10000</v>
      </c>
      <c r="V40" s="1309">
        <f>U40</f>
        <v>10000</v>
      </c>
      <c r="W40" s="1310">
        <f>W$30</f>
        <v>0</v>
      </c>
    </row>
    <row r="41" spans="2:23">
      <c r="B41" s="1326" t="s">
        <v>1513</v>
      </c>
      <c r="C41" s="1322"/>
      <c r="D41" s="1311"/>
      <c r="E41" s="1311"/>
      <c r="F41" s="1311"/>
      <c r="G41" s="1311"/>
      <c r="H41" s="1311"/>
      <c r="I41" s="1311"/>
      <c r="J41" s="1311"/>
      <c r="K41" s="1311"/>
      <c r="L41" s="1311"/>
      <c r="M41" s="1311"/>
      <c r="N41" s="1311"/>
      <c r="O41" s="1311"/>
      <c r="P41" s="1311"/>
      <c r="Q41" s="1311"/>
      <c r="R41" s="1311"/>
      <c r="S41" s="1311"/>
      <c r="T41" s="1311"/>
      <c r="U41" s="1311"/>
      <c r="V41" s="1311"/>
      <c r="W41" s="1310">
        <f>W40</f>
        <v>0</v>
      </c>
    </row>
    <row r="42" spans="2:23">
      <c r="B42" s="1327" t="s">
        <v>1514</v>
      </c>
      <c r="C42" s="1323">
        <f>C30/2</f>
        <v>50000</v>
      </c>
      <c r="D42" s="1313">
        <f>C42</f>
        <v>50000</v>
      </c>
      <c r="E42" s="1313">
        <f t="shared" ref="E42:W42" si="0">D42</f>
        <v>50000</v>
      </c>
      <c r="F42" s="1313">
        <f t="shared" si="0"/>
        <v>50000</v>
      </c>
      <c r="G42" s="1313">
        <f t="shared" si="0"/>
        <v>50000</v>
      </c>
      <c r="H42" s="1313">
        <f t="shared" si="0"/>
        <v>50000</v>
      </c>
      <c r="I42" s="1313">
        <f t="shared" si="0"/>
        <v>50000</v>
      </c>
      <c r="J42" s="1313">
        <f t="shared" si="0"/>
        <v>50000</v>
      </c>
      <c r="K42" s="1313">
        <f t="shared" si="0"/>
        <v>50000</v>
      </c>
      <c r="L42" s="1313">
        <f t="shared" si="0"/>
        <v>50000</v>
      </c>
      <c r="M42" s="1313">
        <f t="shared" si="0"/>
        <v>50000</v>
      </c>
      <c r="N42" s="1313">
        <f t="shared" si="0"/>
        <v>50000</v>
      </c>
      <c r="O42" s="1313">
        <f t="shared" si="0"/>
        <v>50000</v>
      </c>
      <c r="P42" s="1313">
        <f t="shared" si="0"/>
        <v>50000</v>
      </c>
      <c r="Q42" s="1313">
        <f t="shared" si="0"/>
        <v>50000</v>
      </c>
      <c r="R42" s="1313">
        <f t="shared" si="0"/>
        <v>50000</v>
      </c>
      <c r="S42" s="1313">
        <f t="shared" si="0"/>
        <v>50000</v>
      </c>
      <c r="T42" s="1313">
        <f t="shared" si="0"/>
        <v>50000</v>
      </c>
      <c r="U42" s="1313">
        <f t="shared" si="0"/>
        <v>50000</v>
      </c>
      <c r="V42" s="1313">
        <f t="shared" si="0"/>
        <v>50000</v>
      </c>
      <c r="W42" s="1314">
        <f t="shared" si="0"/>
        <v>50000</v>
      </c>
    </row>
    <row r="46" spans="2:23" ht="18">
      <c r="B46" s="1328" t="s">
        <v>213</v>
      </c>
    </row>
    <row r="47" spans="2:23" ht="18">
      <c r="B47" s="1328"/>
    </row>
    <row r="48" spans="2:23">
      <c r="C48" s="1324" t="s">
        <v>1518</v>
      </c>
      <c r="D48" s="1319">
        <v>0</v>
      </c>
      <c r="E48" s="1317">
        <f>D48+1</f>
        <v>1</v>
      </c>
      <c r="F48" s="1317">
        <f>E48+1</f>
        <v>2</v>
      </c>
      <c r="G48" s="1317">
        <f t="shared" ref="G48:N48" si="1">F48+1</f>
        <v>3</v>
      </c>
      <c r="H48" s="1317">
        <f t="shared" si="1"/>
        <v>4</v>
      </c>
      <c r="I48" s="1317">
        <f t="shared" si="1"/>
        <v>5</v>
      </c>
      <c r="J48" s="1317">
        <f t="shared" si="1"/>
        <v>6</v>
      </c>
      <c r="K48" s="1317">
        <f t="shared" si="1"/>
        <v>7</v>
      </c>
      <c r="L48" s="1317">
        <f t="shared" si="1"/>
        <v>8</v>
      </c>
      <c r="M48" s="1317">
        <f t="shared" si="1"/>
        <v>9</v>
      </c>
      <c r="N48" s="1318">
        <f t="shared" si="1"/>
        <v>10</v>
      </c>
    </row>
    <row r="49" spans="2:23">
      <c r="B49" s="1307">
        <f>PMT(B50,N48,-D49)</f>
        <v>23852.275688285914</v>
      </c>
      <c r="C49" s="1325" t="s">
        <v>1502</v>
      </c>
      <c r="D49" s="1320">
        <v>100000</v>
      </c>
      <c r="E49" s="1315">
        <f>D49-E51</f>
        <v>96147.72431171409</v>
      </c>
      <c r="F49" s="1315">
        <f t="shared" ref="F49:N49" si="2">E49-F51</f>
        <v>91524.993485771003</v>
      </c>
      <c r="G49" s="1315">
        <f t="shared" si="2"/>
        <v>85977.716494639288</v>
      </c>
      <c r="H49" s="1315">
        <f t="shared" si="2"/>
        <v>79320.984105281241</v>
      </c>
      <c r="I49" s="1315">
        <f t="shared" si="2"/>
        <v>71332.905238051579</v>
      </c>
      <c r="J49" s="1315">
        <f t="shared" si="2"/>
        <v>61747.210597375983</v>
      </c>
      <c r="K49" s="1315">
        <f t="shared" si="2"/>
        <v>50244.377028565264</v>
      </c>
      <c r="L49" s="1315">
        <f t="shared" si="2"/>
        <v>36440.976745992404</v>
      </c>
      <c r="M49" s="1315">
        <f t="shared" si="2"/>
        <v>19876.896406904973</v>
      </c>
      <c r="N49" s="1316">
        <f t="shared" si="2"/>
        <v>5.4569682106375694E-11</v>
      </c>
    </row>
    <row r="50" spans="2:23">
      <c r="B50" s="1308">
        <v>0.2</v>
      </c>
      <c r="C50" s="1326" t="s">
        <v>1515</v>
      </c>
      <c r="D50" s="1321"/>
      <c r="E50" s="1309">
        <f t="shared" ref="E50:N50" si="3">D49*$B$50</f>
        <v>20000</v>
      </c>
      <c r="F50" s="1309">
        <f t="shared" si="3"/>
        <v>19229.54486234282</v>
      </c>
      <c r="G50" s="1309">
        <f t="shared" si="3"/>
        <v>18304.998697154202</v>
      </c>
      <c r="H50" s="1309">
        <f t="shared" si="3"/>
        <v>17195.54329892786</v>
      </c>
      <c r="I50" s="1309">
        <f t="shared" si="3"/>
        <v>15864.196821056248</v>
      </c>
      <c r="J50" s="1309">
        <f t="shared" si="3"/>
        <v>14266.581047610316</v>
      </c>
      <c r="K50" s="1309">
        <f t="shared" si="3"/>
        <v>12349.442119475198</v>
      </c>
      <c r="L50" s="1309">
        <f t="shared" si="3"/>
        <v>10048.875405713054</v>
      </c>
      <c r="M50" s="1309">
        <f t="shared" si="3"/>
        <v>7288.1953491984814</v>
      </c>
      <c r="N50" s="1310">
        <f t="shared" si="3"/>
        <v>3975.3792813809946</v>
      </c>
      <c r="O50" s="1306"/>
      <c r="P50" s="1306"/>
      <c r="Q50" s="1306"/>
      <c r="R50" s="1306"/>
      <c r="S50" s="1306"/>
      <c r="T50" s="1306"/>
      <c r="U50" s="1306"/>
      <c r="V50" s="1306"/>
      <c r="W50" s="1306"/>
    </row>
    <row r="51" spans="2:23">
      <c r="C51" s="1327" t="s">
        <v>549</v>
      </c>
      <c r="D51" s="1331"/>
      <c r="E51" s="1329">
        <f t="shared" ref="E51:N51" si="4">$B$49-E50</f>
        <v>3852.2756882859139</v>
      </c>
      <c r="F51" s="1329">
        <f t="shared" si="4"/>
        <v>4622.7308259430938</v>
      </c>
      <c r="G51" s="1329">
        <f t="shared" si="4"/>
        <v>5547.2769911317118</v>
      </c>
      <c r="H51" s="1329">
        <f t="shared" si="4"/>
        <v>6656.7323893580542</v>
      </c>
      <c r="I51" s="1329">
        <f t="shared" si="4"/>
        <v>7988.0788672296658</v>
      </c>
      <c r="J51" s="1329">
        <f t="shared" si="4"/>
        <v>9585.6946406755978</v>
      </c>
      <c r="K51" s="1329">
        <f t="shared" si="4"/>
        <v>11502.833568810716</v>
      </c>
      <c r="L51" s="1329">
        <f t="shared" si="4"/>
        <v>13803.40028257286</v>
      </c>
      <c r="M51" s="1329">
        <f t="shared" si="4"/>
        <v>16564.080339087432</v>
      </c>
      <c r="N51" s="1330">
        <f t="shared" si="4"/>
        <v>19876.896406904918</v>
      </c>
      <c r="O51" s="1306"/>
      <c r="P51" s="1306"/>
      <c r="Q51" s="1306"/>
      <c r="R51" s="1306"/>
      <c r="S51" s="1306"/>
      <c r="T51" s="1306"/>
      <c r="U51" s="1306"/>
      <c r="V51" s="1306"/>
      <c r="W51" s="1306"/>
    </row>
    <row r="52" spans="2:23">
      <c r="D52" s="1306"/>
      <c r="E52" s="1306"/>
      <c r="F52" s="1306"/>
      <c r="G52" s="1306"/>
      <c r="H52" s="1306"/>
      <c r="I52" s="1306"/>
      <c r="J52" s="1306"/>
      <c r="K52" s="1306"/>
      <c r="L52" s="1306"/>
      <c r="M52" s="1306"/>
      <c r="N52" s="1306"/>
      <c r="O52" s="1306"/>
      <c r="P52" s="1306"/>
      <c r="Q52" s="1306"/>
      <c r="R52" s="1306"/>
      <c r="S52" s="1306"/>
      <c r="T52" s="1306"/>
      <c r="U52" s="1306"/>
      <c r="V52" s="1306"/>
      <c r="W52" s="1306"/>
    </row>
    <row r="53" spans="2:23">
      <c r="B53" s="1324" t="s">
        <v>1517</v>
      </c>
      <c r="C53" s="1319">
        <v>0</v>
      </c>
      <c r="D53" s="1317">
        <f>C53+1</f>
        <v>1</v>
      </c>
      <c r="E53" s="1317">
        <f>D53</f>
        <v>1</v>
      </c>
      <c r="F53" s="1317">
        <f t="shared" ref="F53" si="5">E53+1</f>
        <v>2</v>
      </c>
      <c r="G53" s="1317">
        <f t="shared" ref="G53" si="6">F53</f>
        <v>2</v>
      </c>
      <c r="H53" s="1317">
        <f t="shared" ref="H53" si="7">G53+1</f>
        <v>3</v>
      </c>
      <c r="I53" s="1317">
        <f t="shared" ref="I53" si="8">H53</f>
        <v>3</v>
      </c>
      <c r="J53" s="1317">
        <f t="shared" ref="J53" si="9">I53+1</f>
        <v>4</v>
      </c>
      <c r="K53" s="1317">
        <f t="shared" ref="K53" si="10">J53</f>
        <v>4</v>
      </c>
      <c r="L53" s="1317">
        <f t="shared" ref="L53" si="11">K53+1</f>
        <v>5</v>
      </c>
      <c r="M53" s="1317">
        <f t="shared" ref="M53" si="12">L53</f>
        <v>5</v>
      </c>
      <c r="N53" s="1317">
        <f t="shared" ref="N53" si="13">M53+1</f>
        <v>6</v>
      </c>
      <c r="O53" s="1317">
        <f t="shared" ref="O53" si="14">N53</f>
        <v>6</v>
      </c>
      <c r="P53" s="1317">
        <f t="shared" ref="P53" si="15">O53+1</f>
        <v>7</v>
      </c>
      <c r="Q53" s="1317">
        <f t="shared" ref="Q53" si="16">P53</f>
        <v>7</v>
      </c>
      <c r="R53" s="1317">
        <f t="shared" ref="R53" si="17">Q53+1</f>
        <v>8</v>
      </c>
      <c r="S53" s="1317">
        <f t="shared" ref="S53" si="18">R53</f>
        <v>8</v>
      </c>
      <c r="T53" s="1317">
        <f t="shared" ref="T53" si="19">S53+1</f>
        <v>9</v>
      </c>
      <c r="U53" s="1317">
        <f t="shared" ref="U53" si="20">T53</f>
        <v>9</v>
      </c>
      <c r="V53" s="1317">
        <f t="shared" ref="V53" si="21">U53+1</f>
        <v>10</v>
      </c>
      <c r="W53" s="1318">
        <f t="shared" ref="W53" si="22">V53</f>
        <v>10</v>
      </c>
    </row>
    <row r="54" spans="2:23">
      <c r="B54" s="1325" t="s">
        <v>1502</v>
      </c>
      <c r="C54" s="1320">
        <f>D49</f>
        <v>100000</v>
      </c>
      <c r="D54" s="1315">
        <f>E49</f>
        <v>96147.72431171409</v>
      </c>
      <c r="E54" s="1315">
        <f>D54</f>
        <v>96147.72431171409</v>
      </c>
      <c r="F54" s="1315">
        <f>F49</f>
        <v>91524.993485771003</v>
      </c>
      <c r="G54" s="1315">
        <f>F54</f>
        <v>91524.993485771003</v>
      </c>
      <c r="H54" s="1315">
        <f>G49</f>
        <v>85977.716494639288</v>
      </c>
      <c r="I54" s="1315">
        <f>H54</f>
        <v>85977.716494639288</v>
      </c>
      <c r="J54" s="1315">
        <f>H49</f>
        <v>79320.984105281241</v>
      </c>
      <c r="K54" s="1315">
        <f>J54</f>
        <v>79320.984105281241</v>
      </c>
      <c r="L54" s="1315">
        <f>I49</f>
        <v>71332.905238051579</v>
      </c>
      <c r="M54" s="1315">
        <f>L54</f>
        <v>71332.905238051579</v>
      </c>
      <c r="N54" s="1315">
        <f>J49</f>
        <v>61747.210597375983</v>
      </c>
      <c r="O54" s="1315">
        <f>N54</f>
        <v>61747.210597375983</v>
      </c>
      <c r="P54" s="1315">
        <f>K49</f>
        <v>50244.377028565264</v>
      </c>
      <c r="Q54" s="1315">
        <f>P54</f>
        <v>50244.377028565264</v>
      </c>
      <c r="R54" s="1315">
        <f>L49</f>
        <v>36440.976745992404</v>
      </c>
      <c r="S54" s="1315">
        <f>R54</f>
        <v>36440.976745992404</v>
      </c>
      <c r="T54" s="1315">
        <f>M49</f>
        <v>19876.896406904973</v>
      </c>
      <c r="U54" s="1315">
        <f>T54</f>
        <v>19876.896406904973</v>
      </c>
      <c r="V54" s="1315">
        <f>N49</f>
        <v>5.4569682106375694E-11</v>
      </c>
      <c r="W54" s="1316">
        <f>V54</f>
        <v>5.4569682106375694E-11</v>
      </c>
    </row>
    <row r="55" spans="2:23">
      <c r="B55" s="1326" t="s">
        <v>1503</v>
      </c>
      <c r="C55" s="1321">
        <f>C54</f>
        <v>100000</v>
      </c>
      <c r="D55" s="1309">
        <f>C55</f>
        <v>100000</v>
      </c>
      <c r="E55" s="1309">
        <f>E$54</f>
        <v>96147.72431171409</v>
      </c>
      <c r="F55" s="1311"/>
      <c r="G55" s="1311"/>
      <c r="H55" s="1311"/>
      <c r="I55" s="1311"/>
      <c r="J55" s="1311"/>
      <c r="K55" s="1311"/>
      <c r="L55" s="1311"/>
      <c r="M55" s="1311"/>
      <c r="N55" s="1311"/>
      <c r="O55" s="1311"/>
      <c r="P55" s="1311"/>
      <c r="Q55" s="1311"/>
      <c r="R55" s="1311"/>
      <c r="S55" s="1311"/>
      <c r="T55" s="1311"/>
      <c r="U55" s="1311"/>
      <c r="V55" s="1311"/>
      <c r="W55" s="1312"/>
    </row>
    <row r="56" spans="2:23">
      <c r="B56" s="1326" t="s">
        <v>1504</v>
      </c>
      <c r="C56" s="1322"/>
      <c r="D56" s="1309"/>
      <c r="E56" s="1309">
        <f>E55</f>
        <v>96147.72431171409</v>
      </c>
      <c r="F56" s="1309">
        <f>E56</f>
        <v>96147.72431171409</v>
      </c>
      <c r="G56" s="1309">
        <f>G$54</f>
        <v>91524.993485771003</v>
      </c>
      <c r="H56" s="1311"/>
      <c r="I56" s="1311"/>
      <c r="J56" s="1311"/>
      <c r="K56" s="1311"/>
      <c r="L56" s="1311"/>
      <c r="M56" s="1311"/>
      <c r="N56" s="1311"/>
      <c r="O56" s="1311"/>
      <c r="P56" s="1311"/>
      <c r="Q56" s="1311"/>
      <c r="R56" s="1311"/>
      <c r="S56" s="1311"/>
      <c r="T56" s="1311"/>
      <c r="U56" s="1311"/>
      <c r="V56" s="1311"/>
      <c r="W56" s="1312"/>
    </row>
    <row r="57" spans="2:23">
      <c r="B57" s="1326" t="s">
        <v>1505</v>
      </c>
      <c r="C57" s="1322"/>
      <c r="D57" s="1309"/>
      <c r="E57" s="1309"/>
      <c r="F57" s="1309"/>
      <c r="G57" s="1309">
        <f>G56</f>
        <v>91524.993485771003</v>
      </c>
      <c r="H57" s="1309">
        <f>G57</f>
        <v>91524.993485771003</v>
      </c>
      <c r="I57" s="1309">
        <f>I$54</f>
        <v>85977.716494639288</v>
      </c>
      <c r="J57" s="1311"/>
      <c r="K57" s="1311"/>
      <c r="L57" s="1311"/>
      <c r="M57" s="1311"/>
      <c r="N57" s="1311"/>
      <c r="O57" s="1311"/>
      <c r="P57" s="1311"/>
      <c r="Q57" s="1311"/>
      <c r="R57" s="1311"/>
      <c r="S57" s="1311"/>
      <c r="T57" s="1311"/>
      <c r="U57" s="1311"/>
      <c r="V57" s="1311"/>
      <c r="W57" s="1312"/>
    </row>
    <row r="58" spans="2:23">
      <c r="B58" s="1326" t="s">
        <v>1506</v>
      </c>
      <c r="C58" s="1322"/>
      <c r="D58" s="1309"/>
      <c r="E58" s="1309"/>
      <c r="F58" s="1309"/>
      <c r="G58" s="1309"/>
      <c r="H58" s="1311"/>
      <c r="I58" s="1309">
        <f>I57</f>
        <v>85977.716494639288</v>
      </c>
      <c r="J58" s="1309">
        <f>I58</f>
        <v>85977.716494639288</v>
      </c>
      <c r="K58" s="1309">
        <f>K$54</f>
        <v>79320.984105281241</v>
      </c>
      <c r="L58" s="1311"/>
      <c r="M58" s="1311"/>
      <c r="N58" s="1311"/>
      <c r="O58" s="1311"/>
      <c r="P58" s="1311"/>
      <c r="Q58" s="1311"/>
      <c r="R58" s="1311"/>
      <c r="S58" s="1311"/>
      <c r="T58" s="1311"/>
      <c r="U58" s="1311"/>
      <c r="V58" s="1311"/>
      <c r="W58" s="1312"/>
    </row>
    <row r="59" spans="2:23">
      <c r="B59" s="1326" t="s">
        <v>1507</v>
      </c>
      <c r="C59" s="1322"/>
      <c r="D59" s="1309"/>
      <c r="E59" s="1309"/>
      <c r="F59" s="1309"/>
      <c r="G59" s="1309"/>
      <c r="H59" s="1311"/>
      <c r="I59" s="1311"/>
      <c r="J59" s="1311"/>
      <c r="K59" s="1309">
        <f>K58</f>
        <v>79320.984105281241</v>
      </c>
      <c r="L59" s="1309">
        <f>K59</f>
        <v>79320.984105281241</v>
      </c>
      <c r="M59" s="1309">
        <f>M$54</f>
        <v>71332.905238051579</v>
      </c>
      <c r="N59" s="1311"/>
      <c r="O59" s="1311"/>
      <c r="P59" s="1311"/>
      <c r="Q59" s="1311"/>
      <c r="R59" s="1311"/>
      <c r="S59" s="1311"/>
      <c r="T59" s="1311"/>
      <c r="U59" s="1311"/>
      <c r="V59" s="1311"/>
      <c r="W59" s="1312"/>
    </row>
    <row r="60" spans="2:23">
      <c r="B60" s="1326" t="s">
        <v>1508</v>
      </c>
      <c r="C60" s="1322"/>
      <c r="D60" s="1309"/>
      <c r="E60" s="1309"/>
      <c r="F60" s="1309"/>
      <c r="G60" s="1309"/>
      <c r="H60" s="1311"/>
      <c r="I60" s="1311"/>
      <c r="J60" s="1311"/>
      <c r="K60" s="1311"/>
      <c r="L60" s="1311"/>
      <c r="M60" s="1309">
        <f>M59</f>
        <v>71332.905238051579</v>
      </c>
      <c r="N60" s="1309">
        <f>M60</f>
        <v>71332.905238051579</v>
      </c>
      <c r="O60" s="1309">
        <f>O$54</f>
        <v>61747.210597375983</v>
      </c>
      <c r="P60" s="1311"/>
      <c r="Q60" s="1311"/>
      <c r="R60" s="1311"/>
      <c r="S60" s="1311"/>
      <c r="T60" s="1311"/>
      <c r="U60" s="1311"/>
      <c r="V60" s="1311"/>
      <c r="W60" s="1312"/>
    </row>
    <row r="61" spans="2:23">
      <c r="B61" s="1326" t="s">
        <v>1509</v>
      </c>
      <c r="C61" s="1322"/>
      <c r="D61" s="1309"/>
      <c r="E61" s="1309"/>
      <c r="F61" s="1309"/>
      <c r="G61" s="1309"/>
      <c r="H61" s="1311"/>
      <c r="I61" s="1311"/>
      <c r="J61" s="1311"/>
      <c r="K61" s="1311"/>
      <c r="L61" s="1311"/>
      <c r="M61" s="1311"/>
      <c r="N61" s="1311"/>
      <c r="O61" s="1309">
        <f>O60</f>
        <v>61747.210597375983</v>
      </c>
      <c r="P61" s="1309">
        <f>O61</f>
        <v>61747.210597375983</v>
      </c>
      <c r="Q61" s="1309">
        <f>Q$54</f>
        <v>50244.377028565264</v>
      </c>
      <c r="R61" s="1311"/>
      <c r="S61" s="1311"/>
      <c r="T61" s="1311"/>
      <c r="U61" s="1311"/>
      <c r="V61" s="1311"/>
      <c r="W61" s="1312"/>
    </row>
    <row r="62" spans="2:23">
      <c r="B62" s="1326" t="s">
        <v>1510</v>
      </c>
      <c r="C62" s="1322"/>
      <c r="D62" s="1311"/>
      <c r="E62" s="1311"/>
      <c r="F62" s="1311"/>
      <c r="G62" s="1311"/>
      <c r="H62" s="1311"/>
      <c r="I62" s="1311"/>
      <c r="J62" s="1311"/>
      <c r="K62" s="1311"/>
      <c r="L62" s="1311"/>
      <c r="M62" s="1311"/>
      <c r="N62" s="1311"/>
      <c r="O62" s="1311"/>
      <c r="P62" s="1311"/>
      <c r="Q62" s="1309">
        <f>Q61</f>
        <v>50244.377028565264</v>
      </c>
      <c r="R62" s="1309">
        <f>Q62</f>
        <v>50244.377028565264</v>
      </c>
      <c r="S62" s="1309">
        <f>S$54</f>
        <v>36440.976745992404</v>
      </c>
      <c r="T62" s="1311"/>
      <c r="U62" s="1311"/>
      <c r="V62" s="1311"/>
      <c r="W62" s="1312"/>
    </row>
    <row r="63" spans="2:23">
      <c r="B63" s="1326" t="s">
        <v>1511</v>
      </c>
      <c r="C63" s="1322"/>
      <c r="D63" s="1311"/>
      <c r="E63" s="1311"/>
      <c r="F63" s="1311"/>
      <c r="G63" s="1311"/>
      <c r="H63" s="1311"/>
      <c r="I63" s="1311"/>
      <c r="J63" s="1311"/>
      <c r="K63" s="1311"/>
      <c r="L63" s="1311"/>
      <c r="M63" s="1311"/>
      <c r="N63" s="1311"/>
      <c r="O63" s="1311"/>
      <c r="P63" s="1311"/>
      <c r="Q63" s="1311"/>
      <c r="R63" s="1311"/>
      <c r="S63" s="1309">
        <f>S62</f>
        <v>36440.976745992404</v>
      </c>
      <c r="T63" s="1309">
        <f>S63</f>
        <v>36440.976745992404</v>
      </c>
      <c r="U63" s="1309">
        <f>U$54</f>
        <v>19876.896406904973</v>
      </c>
      <c r="V63" s="1311"/>
      <c r="W63" s="1312"/>
    </row>
    <row r="64" spans="2:23">
      <c r="B64" s="1326" t="s">
        <v>1512</v>
      </c>
      <c r="C64" s="1322"/>
      <c r="D64" s="1311"/>
      <c r="E64" s="1311"/>
      <c r="F64" s="1311"/>
      <c r="G64" s="1311"/>
      <c r="H64" s="1311"/>
      <c r="I64" s="1311"/>
      <c r="J64" s="1311"/>
      <c r="K64" s="1311"/>
      <c r="L64" s="1311"/>
      <c r="M64" s="1311"/>
      <c r="N64" s="1311"/>
      <c r="O64" s="1311"/>
      <c r="P64" s="1311"/>
      <c r="Q64" s="1311"/>
      <c r="R64" s="1311"/>
      <c r="S64" s="1311"/>
      <c r="T64" s="1311"/>
      <c r="U64" s="1309">
        <f>U63</f>
        <v>19876.896406904973</v>
      </c>
      <c r="V64" s="1309">
        <f>U64</f>
        <v>19876.896406904973</v>
      </c>
      <c r="W64" s="1310">
        <f>W$54</f>
        <v>5.4569682106375694E-11</v>
      </c>
    </row>
    <row r="65" spans="2:24">
      <c r="B65" s="1326" t="s">
        <v>1513</v>
      </c>
      <c r="C65" s="1322"/>
      <c r="D65" s="1311"/>
      <c r="E65" s="1311"/>
      <c r="F65" s="1311"/>
      <c r="G65" s="1311"/>
      <c r="H65" s="1311"/>
      <c r="I65" s="1311"/>
      <c r="J65" s="1311"/>
      <c r="K65" s="1311"/>
      <c r="L65" s="1311"/>
      <c r="M65" s="1311"/>
      <c r="N65" s="1311"/>
      <c r="O65" s="1311"/>
      <c r="P65" s="1311"/>
      <c r="Q65" s="1311"/>
      <c r="R65" s="1311"/>
      <c r="S65" s="1311"/>
      <c r="T65" s="1311"/>
      <c r="U65" s="1311"/>
      <c r="V65" s="1311"/>
      <c r="W65" s="1310">
        <f>W64</f>
        <v>5.4569682106375694E-11</v>
      </c>
      <c r="X65" s="1306"/>
    </row>
    <row r="66" spans="2:24">
      <c r="B66" s="1326" t="s">
        <v>1516</v>
      </c>
      <c r="C66" s="1321">
        <f>C54</f>
        <v>100000</v>
      </c>
      <c r="D66" s="1309">
        <f>C66-10000</f>
        <v>90000</v>
      </c>
      <c r="E66" s="1309">
        <f>D66</f>
        <v>90000</v>
      </c>
      <c r="F66" s="1309">
        <f t="shared" ref="F66" si="23">E66-10000</f>
        <v>80000</v>
      </c>
      <c r="G66" s="1309">
        <f t="shared" ref="G66" si="24">F66</f>
        <v>80000</v>
      </c>
      <c r="H66" s="1309">
        <f t="shared" ref="H66" si="25">G66-10000</f>
        <v>70000</v>
      </c>
      <c r="I66" s="1309">
        <f t="shared" ref="I66" si="26">H66</f>
        <v>70000</v>
      </c>
      <c r="J66" s="1309">
        <f t="shared" ref="J66" si="27">I66-10000</f>
        <v>60000</v>
      </c>
      <c r="K66" s="1309">
        <f t="shared" ref="K66" si="28">J66</f>
        <v>60000</v>
      </c>
      <c r="L66" s="1309">
        <f t="shared" ref="L66" si="29">K66-10000</f>
        <v>50000</v>
      </c>
      <c r="M66" s="1309">
        <f t="shared" ref="M66" si="30">L66</f>
        <v>50000</v>
      </c>
      <c r="N66" s="1309">
        <f t="shared" ref="N66" si="31">M66-10000</f>
        <v>40000</v>
      </c>
      <c r="O66" s="1309">
        <f t="shared" ref="O66" si="32">N66</f>
        <v>40000</v>
      </c>
      <c r="P66" s="1309">
        <f t="shared" ref="P66" si="33">O66-10000</f>
        <v>30000</v>
      </c>
      <c r="Q66" s="1309">
        <f t="shared" ref="Q66" si="34">P66</f>
        <v>30000</v>
      </c>
      <c r="R66" s="1309">
        <f t="shared" ref="R66" si="35">Q66-10000</f>
        <v>20000</v>
      </c>
      <c r="S66" s="1309">
        <f t="shared" ref="S66" si="36">R66</f>
        <v>20000</v>
      </c>
      <c r="T66" s="1309">
        <f t="shared" ref="T66" si="37">S66-10000</f>
        <v>10000</v>
      </c>
      <c r="U66" s="1309">
        <f t="shared" ref="U66" si="38">T66</f>
        <v>10000</v>
      </c>
      <c r="V66" s="1309">
        <f t="shared" ref="V66" si="39">U66-10000</f>
        <v>0</v>
      </c>
      <c r="W66" s="1310">
        <f t="shared" ref="W66:W67" si="40">V66</f>
        <v>0</v>
      </c>
    </row>
    <row r="67" spans="2:24">
      <c r="B67" s="1327" t="s">
        <v>1514</v>
      </c>
      <c r="C67" s="1331">
        <f>AVERAGE(D49:N49)</f>
        <v>62964.88949220872</v>
      </c>
      <c r="D67" s="1329">
        <f>C67</f>
        <v>62964.88949220872</v>
      </c>
      <c r="E67" s="1329">
        <f t="shared" ref="E67:V67" si="41">D67</f>
        <v>62964.88949220872</v>
      </c>
      <c r="F67" s="1329">
        <f t="shared" si="41"/>
        <v>62964.88949220872</v>
      </c>
      <c r="G67" s="1329">
        <f t="shared" si="41"/>
        <v>62964.88949220872</v>
      </c>
      <c r="H67" s="1329">
        <f t="shared" si="41"/>
        <v>62964.88949220872</v>
      </c>
      <c r="I67" s="1329">
        <f t="shared" si="41"/>
        <v>62964.88949220872</v>
      </c>
      <c r="J67" s="1329">
        <f t="shared" si="41"/>
        <v>62964.88949220872</v>
      </c>
      <c r="K67" s="1329">
        <f t="shared" si="41"/>
        <v>62964.88949220872</v>
      </c>
      <c r="L67" s="1329">
        <f t="shared" si="41"/>
        <v>62964.88949220872</v>
      </c>
      <c r="M67" s="1329">
        <f t="shared" si="41"/>
        <v>62964.88949220872</v>
      </c>
      <c r="N67" s="1329">
        <f t="shared" si="41"/>
        <v>62964.88949220872</v>
      </c>
      <c r="O67" s="1329">
        <f t="shared" si="41"/>
        <v>62964.88949220872</v>
      </c>
      <c r="P67" s="1329">
        <f t="shared" si="41"/>
        <v>62964.88949220872</v>
      </c>
      <c r="Q67" s="1329">
        <f t="shared" si="41"/>
        <v>62964.88949220872</v>
      </c>
      <c r="R67" s="1329">
        <f t="shared" si="41"/>
        <v>62964.88949220872</v>
      </c>
      <c r="S67" s="1329">
        <f t="shared" si="41"/>
        <v>62964.88949220872</v>
      </c>
      <c r="T67" s="1329">
        <f t="shared" si="41"/>
        <v>62964.88949220872</v>
      </c>
      <c r="U67" s="1329">
        <f t="shared" si="41"/>
        <v>62964.88949220872</v>
      </c>
      <c r="V67" s="1329">
        <f t="shared" si="41"/>
        <v>62964.88949220872</v>
      </c>
      <c r="W67" s="1330">
        <f t="shared" si="40"/>
        <v>62964.88949220872</v>
      </c>
    </row>
    <row r="71" spans="2:24" ht="18">
      <c r="B71" s="1328" t="s">
        <v>1519</v>
      </c>
    </row>
    <row r="73" spans="2:24">
      <c r="C73" s="1324"/>
      <c r="D73" s="1319">
        <v>0</v>
      </c>
      <c r="E73" s="1317">
        <f t="shared" ref="E73:N73" si="42">D73+1</f>
        <v>1</v>
      </c>
      <c r="F73" s="1317">
        <f t="shared" si="42"/>
        <v>2</v>
      </c>
      <c r="G73" s="1317">
        <f t="shared" si="42"/>
        <v>3</v>
      </c>
      <c r="H73" s="1317">
        <f t="shared" si="42"/>
        <v>4</v>
      </c>
      <c r="I73" s="1317">
        <f t="shared" si="42"/>
        <v>5</v>
      </c>
      <c r="J73" s="1317">
        <f t="shared" si="42"/>
        <v>6</v>
      </c>
      <c r="K73" s="1317">
        <f t="shared" si="42"/>
        <v>7</v>
      </c>
      <c r="L73" s="1317">
        <f t="shared" si="42"/>
        <v>8</v>
      </c>
      <c r="M73" s="1317">
        <f t="shared" si="42"/>
        <v>9</v>
      </c>
      <c r="N73" s="1318">
        <f t="shared" si="42"/>
        <v>10</v>
      </c>
    </row>
    <row r="74" spans="2:24">
      <c r="B74" s="1307">
        <f>PMT(B75,N73,-D74)</f>
        <v>2405.8049920334279</v>
      </c>
      <c r="C74" s="1325" t="s">
        <v>1502</v>
      </c>
      <c r="D74" s="1320">
        <v>100000</v>
      </c>
      <c r="E74" s="1315">
        <f t="shared" ref="E74:N74" si="43">D74-E76</f>
        <v>77594.195007966569</v>
      </c>
      <c r="F74" s="1315">
        <f t="shared" si="43"/>
        <v>59669.551014339828</v>
      </c>
      <c r="G74" s="1315">
        <f t="shared" si="43"/>
        <v>45329.835819438435</v>
      </c>
      <c r="H74" s="1315">
        <f t="shared" si="43"/>
        <v>33858.063663517314</v>
      </c>
      <c r="I74" s="1315">
        <f t="shared" si="43"/>
        <v>24680.645938780424</v>
      </c>
      <c r="J74" s="1315">
        <f t="shared" si="43"/>
        <v>17338.71175899091</v>
      </c>
      <c r="K74" s="1315">
        <f t="shared" si="43"/>
        <v>11465.164415159299</v>
      </c>
      <c r="L74" s="1315">
        <f t="shared" si="43"/>
        <v>6766.3265400940109</v>
      </c>
      <c r="M74" s="1315">
        <f t="shared" si="43"/>
        <v>3007.256240041781</v>
      </c>
      <c r="N74" s="1316">
        <f t="shared" si="43"/>
        <v>0</v>
      </c>
    </row>
    <row r="75" spans="2:24">
      <c r="B75" s="1308">
        <v>-0.2</v>
      </c>
      <c r="C75" s="1326" t="s">
        <v>1515</v>
      </c>
      <c r="D75" s="1321"/>
      <c r="E75" s="1309">
        <f t="shared" ref="E75:N75" si="44">D74*$B$75</f>
        <v>-20000</v>
      </c>
      <c r="F75" s="1309">
        <f t="shared" si="44"/>
        <v>-15518.839001593315</v>
      </c>
      <c r="G75" s="1309">
        <f t="shared" si="44"/>
        <v>-11933.910202867966</v>
      </c>
      <c r="H75" s="1309">
        <f t="shared" si="44"/>
        <v>-9065.967163887688</v>
      </c>
      <c r="I75" s="1309">
        <f t="shared" si="44"/>
        <v>-6771.6127327034628</v>
      </c>
      <c r="J75" s="1309">
        <f t="shared" si="44"/>
        <v>-4936.1291877560852</v>
      </c>
      <c r="K75" s="1309">
        <f t="shared" si="44"/>
        <v>-3467.7423517981824</v>
      </c>
      <c r="L75" s="1309">
        <f t="shared" si="44"/>
        <v>-2293.0328830318599</v>
      </c>
      <c r="M75" s="1309">
        <f t="shared" si="44"/>
        <v>-1353.2653080188022</v>
      </c>
      <c r="N75" s="1310">
        <f t="shared" si="44"/>
        <v>-601.45124800835617</v>
      </c>
      <c r="O75" s="1306"/>
      <c r="P75" s="1306"/>
      <c r="Q75" s="1306"/>
      <c r="R75" s="1306"/>
      <c r="S75" s="1306"/>
      <c r="T75" s="1306"/>
      <c r="U75" s="1306"/>
      <c r="V75" s="1306"/>
      <c r="W75" s="1306"/>
    </row>
    <row r="76" spans="2:24">
      <c r="C76" s="1327" t="s">
        <v>549</v>
      </c>
      <c r="D76" s="1331"/>
      <c r="E76" s="1329">
        <f t="shared" ref="E76:N76" si="45">$B$74-E75</f>
        <v>22405.804992033427</v>
      </c>
      <c r="F76" s="1329">
        <f t="shared" si="45"/>
        <v>17924.643993626742</v>
      </c>
      <c r="G76" s="1329">
        <f t="shared" si="45"/>
        <v>14339.715194901393</v>
      </c>
      <c r="H76" s="1329">
        <f t="shared" si="45"/>
        <v>11471.772155921117</v>
      </c>
      <c r="I76" s="1329">
        <f t="shared" si="45"/>
        <v>9177.4177247368898</v>
      </c>
      <c r="J76" s="1329">
        <f t="shared" si="45"/>
        <v>7341.9341797895131</v>
      </c>
      <c r="K76" s="1329">
        <f t="shared" si="45"/>
        <v>5873.5473438316103</v>
      </c>
      <c r="L76" s="1329">
        <f t="shared" si="45"/>
        <v>4698.8378750652882</v>
      </c>
      <c r="M76" s="1329">
        <f t="shared" si="45"/>
        <v>3759.0703000522299</v>
      </c>
      <c r="N76" s="1330">
        <f t="shared" si="45"/>
        <v>3007.2562400417842</v>
      </c>
      <c r="O76" s="1306"/>
      <c r="P76" s="1306"/>
      <c r="Q76" s="1306"/>
      <c r="R76" s="1306"/>
      <c r="S76" s="1306"/>
      <c r="T76" s="1306"/>
      <c r="U76" s="1306"/>
      <c r="V76" s="1306"/>
      <c r="W76" s="1306"/>
    </row>
    <row r="77" spans="2:24">
      <c r="D77" s="1306"/>
      <c r="E77" s="1306"/>
      <c r="F77" s="1306"/>
      <c r="G77" s="1306"/>
      <c r="H77" s="1306"/>
      <c r="I77" s="1306"/>
      <c r="J77" s="1306"/>
      <c r="K77" s="1306"/>
      <c r="L77" s="1306"/>
      <c r="M77" s="1306"/>
      <c r="N77" s="1306"/>
      <c r="O77" s="1306"/>
      <c r="P77" s="1306"/>
      <c r="Q77" s="1306"/>
      <c r="R77" s="1306"/>
      <c r="S77" s="1306"/>
      <c r="T77" s="1306"/>
      <c r="U77" s="1306"/>
      <c r="V77" s="1306"/>
      <c r="W77" s="1306"/>
    </row>
    <row r="78" spans="2:24">
      <c r="B78" s="1324" t="s">
        <v>1517</v>
      </c>
      <c r="C78" s="1319">
        <v>0</v>
      </c>
      <c r="D78" s="1317">
        <f>C78+1</f>
        <v>1</v>
      </c>
      <c r="E78" s="1317">
        <f>D78</f>
        <v>1</v>
      </c>
      <c r="F78" s="1317">
        <f>E78+1</f>
        <v>2</v>
      </c>
      <c r="G78" s="1317">
        <f>F78</f>
        <v>2</v>
      </c>
      <c r="H78" s="1317">
        <f>G78+1</f>
        <v>3</v>
      </c>
      <c r="I78" s="1317">
        <f>H78</f>
        <v>3</v>
      </c>
      <c r="J78" s="1317">
        <f>I78+1</f>
        <v>4</v>
      </c>
      <c r="K78" s="1317">
        <f>J78</f>
        <v>4</v>
      </c>
      <c r="L78" s="1317">
        <f>K78+1</f>
        <v>5</v>
      </c>
      <c r="M78" s="1317">
        <f>L78</f>
        <v>5</v>
      </c>
      <c r="N78" s="1317">
        <f>M78+1</f>
        <v>6</v>
      </c>
      <c r="O78" s="1317">
        <f>N78</f>
        <v>6</v>
      </c>
      <c r="P78" s="1317">
        <f>O78+1</f>
        <v>7</v>
      </c>
      <c r="Q78" s="1317">
        <f>P78</f>
        <v>7</v>
      </c>
      <c r="R78" s="1317">
        <f>Q78+1</f>
        <v>8</v>
      </c>
      <c r="S78" s="1317">
        <f>R78</f>
        <v>8</v>
      </c>
      <c r="T78" s="1317">
        <f>S78+1</f>
        <v>9</v>
      </c>
      <c r="U78" s="1317">
        <f>T78</f>
        <v>9</v>
      </c>
      <c r="V78" s="1317">
        <f>U78+1</f>
        <v>10</v>
      </c>
      <c r="W78" s="1318">
        <f>V78</f>
        <v>10</v>
      </c>
    </row>
    <row r="79" spans="2:24">
      <c r="B79" s="1325" t="s">
        <v>1502</v>
      </c>
      <c r="C79" s="1320">
        <f>D74</f>
        <v>100000</v>
      </c>
      <c r="D79" s="1315">
        <f>E74</f>
        <v>77594.195007966569</v>
      </c>
      <c r="E79" s="1315">
        <f>D79</f>
        <v>77594.195007966569</v>
      </c>
      <c r="F79" s="1315">
        <f>F74</f>
        <v>59669.551014339828</v>
      </c>
      <c r="G79" s="1315">
        <f>F79</f>
        <v>59669.551014339828</v>
      </c>
      <c r="H79" s="1315">
        <f>G74</f>
        <v>45329.835819438435</v>
      </c>
      <c r="I79" s="1315">
        <f>H79</f>
        <v>45329.835819438435</v>
      </c>
      <c r="J79" s="1315">
        <f>H74</f>
        <v>33858.063663517314</v>
      </c>
      <c r="K79" s="1315">
        <f>J79</f>
        <v>33858.063663517314</v>
      </c>
      <c r="L79" s="1315">
        <f>I74</f>
        <v>24680.645938780424</v>
      </c>
      <c r="M79" s="1315">
        <f>L79</f>
        <v>24680.645938780424</v>
      </c>
      <c r="N79" s="1315">
        <f>J74</f>
        <v>17338.71175899091</v>
      </c>
      <c r="O79" s="1315">
        <f>N79</f>
        <v>17338.71175899091</v>
      </c>
      <c r="P79" s="1315">
        <f>K74</f>
        <v>11465.164415159299</v>
      </c>
      <c r="Q79" s="1315">
        <f>P79</f>
        <v>11465.164415159299</v>
      </c>
      <c r="R79" s="1315">
        <f>L74</f>
        <v>6766.3265400940109</v>
      </c>
      <c r="S79" s="1315">
        <f>R79</f>
        <v>6766.3265400940109</v>
      </c>
      <c r="T79" s="1315">
        <f>M74</f>
        <v>3007.256240041781</v>
      </c>
      <c r="U79" s="1315">
        <f>T79</f>
        <v>3007.256240041781</v>
      </c>
      <c r="V79" s="1315">
        <f>N74</f>
        <v>0</v>
      </c>
      <c r="W79" s="1316">
        <f>V79</f>
        <v>0</v>
      </c>
    </row>
    <row r="80" spans="2:24">
      <c r="B80" s="1326" t="s">
        <v>1503</v>
      </c>
      <c r="C80" s="1321">
        <f>C79</f>
        <v>100000</v>
      </c>
      <c r="D80" s="1309">
        <f>C80</f>
        <v>100000</v>
      </c>
      <c r="E80" s="1309">
        <f>E$79</f>
        <v>77594.195007966569</v>
      </c>
      <c r="F80" s="1311"/>
      <c r="G80" s="1311"/>
      <c r="H80" s="1311"/>
      <c r="I80" s="1311"/>
      <c r="J80" s="1311"/>
      <c r="K80" s="1311"/>
      <c r="L80" s="1311"/>
      <c r="M80" s="1311"/>
      <c r="N80" s="1311"/>
      <c r="O80" s="1311"/>
      <c r="P80" s="1311"/>
      <c r="Q80" s="1311"/>
      <c r="R80" s="1311"/>
      <c r="S80" s="1311"/>
      <c r="T80" s="1311"/>
      <c r="U80" s="1311"/>
      <c r="V80" s="1311"/>
      <c r="W80" s="1312"/>
    </row>
    <row r="81" spans="2:23">
      <c r="B81" s="1326" t="s">
        <v>1504</v>
      </c>
      <c r="C81" s="1322"/>
      <c r="D81" s="1309"/>
      <c r="E81" s="1309">
        <f>E80</f>
        <v>77594.195007966569</v>
      </c>
      <c r="F81" s="1309">
        <f>E81</f>
        <v>77594.195007966569</v>
      </c>
      <c r="G81" s="1309">
        <f>G$79</f>
        <v>59669.551014339828</v>
      </c>
      <c r="H81" s="1311"/>
      <c r="I81" s="1311"/>
      <c r="J81" s="1311"/>
      <c r="K81" s="1311"/>
      <c r="L81" s="1311"/>
      <c r="M81" s="1311"/>
      <c r="N81" s="1311"/>
      <c r="O81" s="1311"/>
      <c r="P81" s="1311"/>
      <c r="Q81" s="1311"/>
      <c r="R81" s="1311"/>
      <c r="S81" s="1311"/>
      <c r="T81" s="1311"/>
      <c r="U81" s="1311"/>
      <c r="V81" s="1311"/>
      <c r="W81" s="1312"/>
    </row>
    <row r="82" spans="2:23">
      <c r="B82" s="1326" t="s">
        <v>1505</v>
      </c>
      <c r="C82" s="1322"/>
      <c r="D82" s="1309"/>
      <c r="E82" s="1309"/>
      <c r="F82" s="1309"/>
      <c r="G82" s="1309">
        <f>G81</f>
        <v>59669.551014339828</v>
      </c>
      <c r="H82" s="1309">
        <f>G82</f>
        <v>59669.551014339828</v>
      </c>
      <c r="I82" s="1309">
        <f>I$79</f>
        <v>45329.835819438435</v>
      </c>
      <c r="J82" s="1311"/>
      <c r="K82" s="1311"/>
      <c r="L82" s="1311"/>
      <c r="M82" s="1311"/>
      <c r="N82" s="1311"/>
      <c r="O82" s="1311"/>
      <c r="P82" s="1311"/>
      <c r="Q82" s="1311"/>
      <c r="R82" s="1311"/>
      <c r="S82" s="1311"/>
      <c r="T82" s="1311"/>
      <c r="U82" s="1311"/>
      <c r="V82" s="1311"/>
      <c r="W82" s="1312"/>
    </row>
    <row r="83" spans="2:23">
      <c r="B83" s="1326" t="s">
        <v>1506</v>
      </c>
      <c r="C83" s="1322"/>
      <c r="D83" s="1309"/>
      <c r="E83" s="1309"/>
      <c r="F83" s="1309"/>
      <c r="G83" s="1309"/>
      <c r="H83" s="1311"/>
      <c r="I83" s="1309">
        <f>I82</f>
        <v>45329.835819438435</v>
      </c>
      <c r="J83" s="1309">
        <f>I83</f>
        <v>45329.835819438435</v>
      </c>
      <c r="K83" s="1309">
        <f>K$79</f>
        <v>33858.063663517314</v>
      </c>
      <c r="L83" s="1311"/>
      <c r="M83" s="1311"/>
      <c r="N83" s="1311"/>
      <c r="O83" s="1311"/>
      <c r="P83" s="1311"/>
      <c r="Q83" s="1311"/>
      <c r="R83" s="1311"/>
      <c r="S83" s="1311"/>
      <c r="T83" s="1311"/>
      <c r="U83" s="1311"/>
      <c r="V83" s="1311"/>
      <c r="W83" s="1312"/>
    </row>
    <row r="84" spans="2:23">
      <c r="B84" s="1326" t="s">
        <v>1507</v>
      </c>
      <c r="C84" s="1322"/>
      <c r="D84" s="1309"/>
      <c r="E84" s="1309"/>
      <c r="F84" s="1309"/>
      <c r="G84" s="1309"/>
      <c r="H84" s="1311"/>
      <c r="I84" s="1311"/>
      <c r="J84" s="1311"/>
      <c r="K84" s="1309">
        <f>K83</f>
        <v>33858.063663517314</v>
      </c>
      <c r="L84" s="1309">
        <f>K84</f>
        <v>33858.063663517314</v>
      </c>
      <c r="M84" s="1309">
        <f>M$79</f>
        <v>24680.645938780424</v>
      </c>
      <c r="N84" s="1311"/>
      <c r="O84" s="1311"/>
      <c r="P84" s="1311"/>
      <c r="Q84" s="1311"/>
      <c r="R84" s="1311"/>
      <c r="S84" s="1311"/>
      <c r="T84" s="1311"/>
      <c r="U84" s="1311"/>
      <c r="V84" s="1311"/>
      <c r="W84" s="1312"/>
    </row>
    <row r="85" spans="2:23">
      <c r="B85" s="1326" t="s">
        <v>1508</v>
      </c>
      <c r="C85" s="1322"/>
      <c r="D85" s="1309"/>
      <c r="E85" s="1309"/>
      <c r="F85" s="1309"/>
      <c r="G85" s="1309"/>
      <c r="H85" s="1311"/>
      <c r="I85" s="1311"/>
      <c r="J85" s="1311"/>
      <c r="K85" s="1311"/>
      <c r="L85" s="1311"/>
      <c r="M85" s="1309">
        <f>M84</f>
        <v>24680.645938780424</v>
      </c>
      <c r="N85" s="1309">
        <f>M85</f>
        <v>24680.645938780424</v>
      </c>
      <c r="O85" s="1309">
        <f>O$79</f>
        <v>17338.71175899091</v>
      </c>
      <c r="P85" s="1311"/>
      <c r="Q85" s="1311"/>
      <c r="R85" s="1311"/>
      <c r="S85" s="1311"/>
      <c r="T85" s="1311"/>
      <c r="U85" s="1311"/>
      <c r="V85" s="1311"/>
      <c r="W85" s="1312"/>
    </row>
    <row r="86" spans="2:23">
      <c r="B86" s="1326" t="s">
        <v>1509</v>
      </c>
      <c r="C86" s="1322"/>
      <c r="D86" s="1309"/>
      <c r="E86" s="1309"/>
      <c r="F86" s="1309"/>
      <c r="G86" s="1309"/>
      <c r="H86" s="1311"/>
      <c r="I86" s="1311"/>
      <c r="J86" s="1311"/>
      <c r="K86" s="1311"/>
      <c r="L86" s="1311"/>
      <c r="M86" s="1311"/>
      <c r="N86" s="1311"/>
      <c r="O86" s="1309">
        <f>O85</f>
        <v>17338.71175899091</v>
      </c>
      <c r="P86" s="1309">
        <f>O86</f>
        <v>17338.71175899091</v>
      </c>
      <c r="Q86" s="1309">
        <f>Q$79</f>
        <v>11465.164415159299</v>
      </c>
      <c r="R86" s="1311"/>
      <c r="S86" s="1311"/>
      <c r="T86" s="1311"/>
      <c r="U86" s="1311"/>
      <c r="V86" s="1311"/>
      <c r="W86" s="1312"/>
    </row>
    <row r="87" spans="2:23">
      <c r="B87" s="1326" t="s">
        <v>1510</v>
      </c>
      <c r="C87" s="1322"/>
      <c r="D87" s="1311"/>
      <c r="E87" s="1311"/>
      <c r="F87" s="1311"/>
      <c r="G87" s="1311"/>
      <c r="H87" s="1311"/>
      <c r="I87" s="1311"/>
      <c r="J87" s="1311"/>
      <c r="K87" s="1311"/>
      <c r="L87" s="1311"/>
      <c r="M87" s="1311"/>
      <c r="N87" s="1311"/>
      <c r="O87" s="1311"/>
      <c r="P87" s="1311"/>
      <c r="Q87" s="1309">
        <f>Q86</f>
        <v>11465.164415159299</v>
      </c>
      <c r="R87" s="1309">
        <f>Q87</f>
        <v>11465.164415159299</v>
      </c>
      <c r="S87" s="1309">
        <f>S$79</f>
        <v>6766.3265400940109</v>
      </c>
      <c r="T87" s="1311"/>
      <c r="U87" s="1311"/>
      <c r="V87" s="1311"/>
      <c r="W87" s="1312"/>
    </row>
    <row r="88" spans="2:23">
      <c r="B88" s="1326" t="s">
        <v>1511</v>
      </c>
      <c r="C88" s="1322"/>
      <c r="D88" s="1311"/>
      <c r="E88" s="1311"/>
      <c r="F88" s="1311"/>
      <c r="G88" s="1311"/>
      <c r="H88" s="1311"/>
      <c r="I88" s="1311"/>
      <c r="J88" s="1311"/>
      <c r="K88" s="1311"/>
      <c r="L88" s="1311"/>
      <c r="M88" s="1311"/>
      <c r="N88" s="1311"/>
      <c r="O88" s="1311"/>
      <c r="P88" s="1311"/>
      <c r="Q88" s="1311"/>
      <c r="R88" s="1311"/>
      <c r="S88" s="1309">
        <f>S87</f>
        <v>6766.3265400940109</v>
      </c>
      <c r="T88" s="1309">
        <f>S88</f>
        <v>6766.3265400940109</v>
      </c>
      <c r="U88" s="1309">
        <f>U$79</f>
        <v>3007.256240041781</v>
      </c>
      <c r="V88" s="1311"/>
      <c r="W88" s="1312"/>
    </row>
    <row r="89" spans="2:23">
      <c r="B89" s="1326" t="s">
        <v>1512</v>
      </c>
      <c r="C89" s="1322"/>
      <c r="D89" s="1311"/>
      <c r="E89" s="1311"/>
      <c r="F89" s="1311"/>
      <c r="G89" s="1311"/>
      <c r="H89" s="1311"/>
      <c r="I89" s="1311"/>
      <c r="J89" s="1311"/>
      <c r="K89" s="1311"/>
      <c r="L89" s="1311"/>
      <c r="M89" s="1311"/>
      <c r="N89" s="1311"/>
      <c r="O89" s="1311"/>
      <c r="P89" s="1311"/>
      <c r="Q89" s="1311"/>
      <c r="R89" s="1311"/>
      <c r="S89" s="1311"/>
      <c r="T89" s="1311"/>
      <c r="U89" s="1309">
        <f>U88</f>
        <v>3007.256240041781</v>
      </c>
      <c r="V89" s="1309">
        <f>U89</f>
        <v>3007.256240041781</v>
      </c>
      <c r="W89" s="1310">
        <f>W$79</f>
        <v>0</v>
      </c>
    </row>
    <row r="90" spans="2:23">
      <c r="B90" s="1326" t="s">
        <v>1513</v>
      </c>
      <c r="C90" s="1322"/>
      <c r="D90" s="1311"/>
      <c r="E90" s="1311"/>
      <c r="F90" s="1311"/>
      <c r="G90" s="1311"/>
      <c r="H90" s="1311"/>
      <c r="I90" s="1311"/>
      <c r="J90" s="1311"/>
      <c r="K90" s="1311"/>
      <c r="L90" s="1311"/>
      <c r="M90" s="1311"/>
      <c r="N90" s="1311"/>
      <c r="O90" s="1311"/>
      <c r="P90" s="1311"/>
      <c r="Q90" s="1311"/>
      <c r="R90" s="1311"/>
      <c r="S90" s="1311"/>
      <c r="T90" s="1311"/>
      <c r="U90" s="1311"/>
      <c r="V90" s="1311"/>
      <c r="W90" s="1310">
        <f>W89</f>
        <v>0</v>
      </c>
    </row>
    <row r="91" spans="2:23">
      <c r="B91" s="1326" t="s">
        <v>1516</v>
      </c>
      <c r="C91" s="1321">
        <f>C79</f>
        <v>100000</v>
      </c>
      <c r="D91" s="1309">
        <f>C91-10000</f>
        <v>90000</v>
      </c>
      <c r="E91" s="1309">
        <f>D91</f>
        <v>90000</v>
      </c>
      <c r="F91" s="1309">
        <f>E91-10000</f>
        <v>80000</v>
      </c>
      <c r="G91" s="1309">
        <f>F91</f>
        <v>80000</v>
      </c>
      <c r="H91" s="1309">
        <f>G91-10000</f>
        <v>70000</v>
      </c>
      <c r="I91" s="1309">
        <f>H91</f>
        <v>70000</v>
      </c>
      <c r="J91" s="1309">
        <f>I91-10000</f>
        <v>60000</v>
      </c>
      <c r="K91" s="1309">
        <f>J91</f>
        <v>60000</v>
      </c>
      <c r="L91" s="1309">
        <f>K91-10000</f>
        <v>50000</v>
      </c>
      <c r="M91" s="1309">
        <f>L91</f>
        <v>50000</v>
      </c>
      <c r="N91" s="1309">
        <f>M91-10000</f>
        <v>40000</v>
      </c>
      <c r="O91" s="1309">
        <f>N91</f>
        <v>40000</v>
      </c>
      <c r="P91" s="1309">
        <f>O91-10000</f>
        <v>30000</v>
      </c>
      <c r="Q91" s="1309">
        <f>P91</f>
        <v>30000</v>
      </c>
      <c r="R91" s="1309">
        <f>Q91-10000</f>
        <v>20000</v>
      </c>
      <c r="S91" s="1309">
        <f>R91</f>
        <v>20000</v>
      </c>
      <c r="T91" s="1309">
        <f>S91-10000</f>
        <v>10000</v>
      </c>
      <c r="U91" s="1309">
        <f>T91</f>
        <v>10000</v>
      </c>
      <c r="V91" s="1309">
        <f>U91-10000</f>
        <v>0</v>
      </c>
      <c r="W91" s="1310">
        <f>V91</f>
        <v>0</v>
      </c>
    </row>
    <row r="92" spans="2:23">
      <c r="B92" s="1327" t="s">
        <v>1514</v>
      </c>
      <c r="C92" s="1331">
        <f>AVERAGE(D74:N74)</f>
        <v>34519.068218029868</v>
      </c>
      <c r="D92" s="1329">
        <f>C92</f>
        <v>34519.068218029868</v>
      </c>
      <c r="E92" s="1329">
        <f t="shared" ref="E92:W92" si="46">D92</f>
        <v>34519.068218029868</v>
      </c>
      <c r="F92" s="1329">
        <f t="shared" si="46"/>
        <v>34519.068218029868</v>
      </c>
      <c r="G92" s="1329">
        <f t="shared" si="46"/>
        <v>34519.068218029868</v>
      </c>
      <c r="H92" s="1329">
        <f t="shared" si="46"/>
        <v>34519.068218029868</v>
      </c>
      <c r="I92" s="1329">
        <f t="shared" si="46"/>
        <v>34519.068218029868</v>
      </c>
      <c r="J92" s="1329">
        <f t="shared" si="46"/>
        <v>34519.068218029868</v>
      </c>
      <c r="K92" s="1329">
        <f t="shared" si="46"/>
        <v>34519.068218029868</v>
      </c>
      <c r="L92" s="1329">
        <f t="shared" si="46"/>
        <v>34519.068218029868</v>
      </c>
      <c r="M92" s="1329">
        <f t="shared" si="46"/>
        <v>34519.068218029868</v>
      </c>
      <c r="N92" s="1329">
        <f t="shared" si="46"/>
        <v>34519.068218029868</v>
      </c>
      <c r="O92" s="1329">
        <f t="shared" si="46"/>
        <v>34519.068218029868</v>
      </c>
      <c r="P92" s="1329">
        <f t="shared" si="46"/>
        <v>34519.068218029868</v>
      </c>
      <c r="Q92" s="1329">
        <f t="shared" si="46"/>
        <v>34519.068218029868</v>
      </c>
      <c r="R92" s="1329">
        <f t="shared" si="46"/>
        <v>34519.068218029868</v>
      </c>
      <c r="S92" s="1329">
        <f t="shared" si="46"/>
        <v>34519.068218029868</v>
      </c>
      <c r="T92" s="1329">
        <f t="shared" si="46"/>
        <v>34519.068218029868</v>
      </c>
      <c r="U92" s="1329">
        <f t="shared" si="46"/>
        <v>34519.068218029868</v>
      </c>
      <c r="V92" s="1329">
        <f t="shared" si="46"/>
        <v>34519.068218029868</v>
      </c>
      <c r="W92" s="1330">
        <f t="shared" si="46"/>
        <v>34519.068218029868</v>
      </c>
    </row>
    <row r="93" spans="2:23">
      <c r="C93" s="1306"/>
      <c r="D93" s="1306"/>
      <c r="E93" s="1306"/>
      <c r="F93" s="1306"/>
      <c r="G93" s="1306"/>
      <c r="H93" s="1306"/>
      <c r="I93" s="1306"/>
      <c r="J93" s="1306"/>
      <c r="K93" s="1306"/>
      <c r="L93" s="1306"/>
      <c r="M93" s="1306"/>
      <c r="N93" s="1306"/>
      <c r="O93" s="1306"/>
      <c r="P93" s="1306"/>
      <c r="Q93" s="1306"/>
      <c r="R93" s="1306"/>
      <c r="S93" s="1306"/>
      <c r="T93" s="1306"/>
      <c r="U93" s="1306"/>
      <c r="V93" s="1306"/>
      <c r="W93" s="1306"/>
    </row>
  </sheetData>
  <pageMargins left="0.19685039370078741" right="0.19685039370078741" top="0.78740157480314965" bottom="0.78740157480314965" header="0.31496062992125984" footer="0.31496062992125984"/>
  <pageSetup paperSize="9" scale="94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43"/>
  <sheetViews>
    <sheetView showGridLines="0" zoomScaleNormal="100" workbookViewId="0"/>
  </sheetViews>
  <sheetFormatPr baseColWidth="10" defaultColWidth="11.44140625" defaultRowHeight="13.8"/>
  <cols>
    <col min="1" max="1" width="1" style="25" customWidth="1"/>
    <col min="2" max="2" width="1" style="29" customWidth="1"/>
    <col min="3" max="4" width="2.44140625" style="29" customWidth="1"/>
    <col min="5" max="12" width="6.5546875" style="29" customWidth="1"/>
    <col min="13" max="15" width="11.44140625" style="29" customWidth="1"/>
    <col min="16" max="16" width="6.5546875" style="29" customWidth="1"/>
    <col min="17" max="18" width="9.5546875" style="29" customWidth="1"/>
    <col min="19" max="16384" width="11.44140625" style="29"/>
  </cols>
  <sheetData>
    <row r="1" spans="1:18" ht="18" thickBot="1">
      <c r="A1" s="1491"/>
      <c r="C1" s="117" t="s">
        <v>821</v>
      </c>
      <c r="D1" s="1340"/>
      <c r="E1" s="1340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019"/>
      <c r="R1" s="1019"/>
    </row>
    <row r="2" spans="1:18" ht="18" thickTop="1">
      <c r="A2" s="142"/>
      <c r="B2" s="142"/>
      <c r="C2" s="909" t="s">
        <v>1160</v>
      </c>
      <c r="D2" s="910"/>
      <c r="E2" s="910"/>
      <c r="F2" s="910"/>
      <c r="G2" s="910"/>
      <c r="H2" s="910"/>
      <c r="I2" s="910"/>
      <c r="J2" s="911"/>
      <c r="K2" s="911"/>
      <c r="L2" s="911"/>
      <c r="M2" s="911"/>
      <c r="N2" s="1345"/>
      <c r="O2" s="1378" t="s">
        <v>27</v>
      </c>
      <c r="P2" s="1340"/>
      <c r="Q2" s="1019"/>
      <c r="R2" s="1020"/>
    </row>
    <row r="3" spans="1:18" ht="17.399999999999999">
      <c r="A3" s="142"/>
      <c r="B3" s="142"/>
      <c r="C3" s="914" t="s">
        <v>1161</v>
      </c>
      <c r="D3" s="915"/>
      <c r="E3" s="915"/>
      <c r="F3" s="915"/>
      <c r="G3" s="915"/>
      <c r="H3" s="915"/>
      <c r="I3" s="915"/>
      <c r="J3" s="916"/>
      <c r="K3" s="916"/>
      <c r="L3" s="916"/>
      <c r="M3" s="916"/>
      <c r="N3" s="1346"/>
      <c r="O3" s="918" t="str">
        <f>$O$2</f>
        <v>€</v>
      </c>
      <c r="P3" s="1340"/>
      <c r="Q3" s="1019"/>
      <c r="R3" s="1019"/>
    </row>
    <row r="4" spans="1:18" ht="17.399999999999999">
      <c r="A4" s="142"/>
      <c r="B4" s="142"/>
      <c r="C4" s="914" t="s">
        <v>1162</v>
      </c>
      <c r="D4" s="915"/>
      <c r="E4" s="915"/>
      <c r="F4" s="915"/>
      <c r="G4" s="915"/>
      <c r="H4" s="915"/>
      <c r="I4" s="915"/>
      <c r="J4" s="916"/>
      <c r="K4" s="916"/>
      <c r="L4" s="916"/>
      <c r="M4" s="916"/>
      <c r="N4" s="1346"/>
      <c r="O4" s="918" t="s">
        <v>65</v>
      </c>
      <c r="P4" s="1340"/>
    </row>
    <row r="5" spans="1:18" ht="17.399999999999999">
      <c r="A5" s="142"/>
      <c r="B5" s="142"/>
      <c r="C5" s="914" t="s">
        <v>818</v>
      </c>
      <c r="D5" s="915"/>
      <c r="E5" s="915"/>
      <c r="F5" s="915"/>
      <c r="G5" s="915"/>
      <c r="H5" s="915"/>
      <c r="I5" s="915"/>
      <c r="J5" s="916"/>
      <c r="K5" s="916"/>
      <c r="L5" s="916"/>
      <c r="M5" s="916"/>
      <c r="N5" s="1347"/>
      <c r="O5" s="1379" t="s">
        <v>64</v>
      </c>
      <c r="P5" s="1340"/>
    </row>
    <row r="6" spans="1:18" ht="17.399999999999999">
      <c r="A6" s="142"/>
      <c r="B6" s="142"/>
      <c r="C6" s="914" t="s">
        <v>634</v>
      </c>
      <c r="D6" s="916"/>
      <c r="E6" s="916"/>
      <c r="F6" s="916"/>
      <c r="G6" s="916"/>
      <c r="H6" s="916"/>
      <c r="I6" s="916"/>
      <c r="J6" s="916"/>
      <c r="K6" s="916"/>
      <c r="L6" s="916"/>
      <c r="M6" s="916"/>
      <c r="N6" s="1352"/>
      <c r="O6" s="918" t="str">
        <f>$O$5&amp;"/Jahr"</f>
        <v>h/Jahr</v>
      </c>
      <c r="P6" s="1340"/>
    </row>
    <row r="7" spans="1:18" ht="17.399999999999999">
      <c r="A7" s="142"/>
      <c r="B7" s="142"/>
      <c r="C7" s="914" t="s">
        <v>620</v>
      </c>
      <c r="D7" s="915"/>
      <c r="E7" s="915"/>
      <c r="F7" s="915"/>
      <c r="G7" s="915"/>
      <c r="H7" s="915"/>
      <c r="I7" s="915"/>
      <c r="J7" s="916"/>
      <c r="K7" s="916"/>
      <c r="L7" s="916"/>
      <c r="M7" s="916"/>
      <c r="N7" s="1359"/>
      <c r="O7" s="918" t="s">
        <v>1163</v>
      </c>
      <c r="P7" s="1340"/>
    </row>
    <row r="8" spans="1:18" ht="17.399999999999999">
      <c r="A8" s="142"/>
      <c r="B8" s="142"/>
      <c r="C8" s="914" t="s">
        <v>1575</v>
      </c>
      <c r="D8" s="915"/>
      <c r="E8" s="915"/>
      <c r="F8" s="915"/>
      <c r="G8" s="915"/>
      <c r="H8" s="915"/>
      <c r="I8" s="915"/>
      <c r="J8" s="916"/>
      <c r="K8" s="916"/>
      <c r="L8" s="916"/>
      <c r="M8" s="916"/>
      <c r="N8" s="1353"/>
      <c r="O8" s="918" t="s">
        <v>1169</v>
      </c>
      <c r="P8" s="1340"/>
    </row>
    <row r="9" spans="1:18" ht="17.399999999999999">
      <c r="A9" s="142"/>
      <c r="B9" s="142"/>
      <c r="C9" s="920" t="s">
        <v>1574</v>
      </c>
      <c r="D9" s="921"/>
      <c r="E9" s="921"/>
      <c r="F9" s="921"/>
      <c r="G9" s="921"/>
      <c r="H9" s="921"/>
      <c r="I9" s="921"/>
      <c r="J9" s="922"/>
      <c r="K9" s="922"/>
      <c r="L9" s="922"/>
      <c r="M9" s="922"/>
      <c r="N9" s="1354"/>
      <c r="O9" s="924" t="s">
        <v>1169</v>
      </c>
      <c r="P9" s="1340"/>
    </row>
    <row r="10" spans="1:18" ht="17.399999999999999">
      <c r="A10" s="142"/>
      <c r="B10" s="142"/>
      <c r="C10" s="122" t="s">
        <v>649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341"/>
      <c r="O10" s="123"/>
      <c r="P10" s="1340"/>
    </row>
    <row r="11" spans="1:18" ht="17.399999999999999">
      <c r="A11" s="142"/>
      <c r="B11" s="142"/>
      <c r="C11" s="122"/>
      <c r="D11" s="801" t="s">
        <v>650</v>
      </c>
      <c r="E11" s="801"/>
      <c r="F11" s="925"/>
      <c r="G11" s="879" t="str">
        <f>$O$5&amp;"    =&gt;"</f>
        <v>h    =&gt;</v>
      </c>
      <c r="H11" s="926">
        <v>1</v>
      </c>
      <c r="I11" s="927" t="s">
        <v>610</v>
      </c>
      <c r="J11" s="879"/>
      <c r="K11" s="928"/>
      <c r="L11" s="879"/>
      <c r="M11" s="1364"/>
      <c r="N11" s="930" t="s">
        <v>654</v>
      </c>
      <c r="O11" s="1380"/>
      <c r="P11" s="1340"/>
    </row>
    <row r="12" spans="1:18" ht="17.399999999999999">
      <c r="A12" s="142"/>
      <c r="B12" s="142"/>
      <c r="C12" s="829"/>
      <c r="D12" s="933" t="s">
        <v>650</v>
      </c>
      <c r="E12" s="933"/>
      <c r="F12" s="934"/>
      <c r="G12" s="922" t="str">
        <f>$O$5&amp;"    =&gt;"</f>
        <v>h    =&gt;</v>
      </c>
      <c r="H12" s="935"/>
      <c r="I12" s="936" t="s">
        <v>653</v>
      </c>
      <c r="J12" s="890"/>
      <c r="K12" s="890"/>
      <c r="L12" s="937" t="s">
        <v>652</v>
      </c>
      <c r="M12" s="938"/>
      <c r="N12" s="939" t="s">
        <v>654</v>
      </c>
      <c r="O12" s="1381"/>
      <c r="P12" s="1340"/>
    </row>
    <row r="13" spans="1:18" ht="17.399999999999999">
      <c r="A13" s="142"/>
      <c r="B13" s="142"/>
      <c r="C13" s="122" t="s">
        <v>1154</v>
      </c>
      <c r="D13" s="811"/>
      <c r="E13" s="811"/>
      <c r="F13" s="866"/>
      <c r="G13" s="867"/>
      <c r="H13" s="868"/>
      <c r="I13" s="867"/>
      <c r="J13" s="864"/>
      <c r="K13" s="864"/>
      <c r="L13" s="869"/>
      <c r="M13" s="869"/>
      <c r="N13" s="816"/>
      <c r="O13" s="1382"/>
      <c r="P13" s="1340"/>
    </row>
    <row r="14" spans="1:18" ht="17.399999999999999">
      <c r="A14" s="142"/>
      <c r="B14" s="142"/>
      <c r="C14" s="122"/>
      <c r="D14" s="942" t="s">
        <v>1573</v>
      </c>
      <c r="E14" s="942"/>
      <c r="F14" s="943"/>
      <c r="G14" s="882"/>
      <c r="H14" s="882"/>
      <c r="I14" s="882"/>
      <c r="J14" s="944"/>
      <c r="K14" s="945" t="str">
        <f>"l / "&amp;$O$5&amp;"  × "</f>
        <v xml:space="preserve">l / h  × </v>
      </c>
      <c r="L14" s="944"/>
      <c r="M14" s="946" t="str">
        <f>$O$2&amp;" / l  ="</f>
        <v>€ / l  =</v>
      </c>
      <c r="N14" s="947"/>
      <c r="O14" s="1383" t="str">
        <f>$O$2&amp;" / "&amp;$O$5</f>
        <v>€ / h</v>
      </c>
      <c r="P14" s="1340"/>
    </row>
    <row r="15" spans="1:18" ht="17.399999999999999">
      <c r="A15" s="142"/>
      <c r="B15" s="142"/>
      <c r="C15" s="122"/>
      <c r="D15" s="949" t="s">
        <v>660</v>
      </c>
      <c r="E15" s="950"/>
      <c r="F15" s="951"/>
      <c r="G15" s="887"/>
      <c r="H15" s="887"/>
      <c r="I15" s="887"/>
      <c r="J15" s="952"/>
      <c r="K15" s="953" t="str">
        <f>"l / "&amp;$O$5&amp;"  × "</f>
        <v xml:space="preserve">l / h  × </v>
      </c>
      <c r="L15" s="952"/>
      <c r="M15" s="954" t="str">
        <f>$O$2&amp;" / l  ="</f>
        <v>€ / l  =</v>
      </c>
      <c r="N15" s="955"/>
      <c r="O15" s="1384" t="str">
        <f>$O$2&amp;" / "&amp;$O$5</f>
        <v>€ / h</v>
      </c>
      <c r="P15" s="1340"/>
    </row>
    <row r="16" spans="1:18" ht="18" thickBot="1">
      <c r="A16" s="142"/>
      <c r="B16" s="142"/>
      <c r="C16" s="871"/>
      <c r="D16" s="821"/>
      <c r="E16" s="821"/>
      <c r="F16" s="872"/>
      <c r="G16" s="873"/>
      <c r="H16" s="873"/>
      <c r="I16" s="873"/>
      <c r="J16" s="874"/>
      <c r="K16" s="874"/>
      <c r="L16" s="874"/>
      <c r="M16" s="874"/>
      <c r="N16" s="873"/>
      <c r="O16" s="1385"/>
      <c r="P16" s="1340"/>
    </row>
    <row r="17" spans="1:15" ht="18" thickTop="1">
      <c r="A17" s="142"/>
      <c r="B17" s="142"/>
      <c r="C17" s="128" t="s">
        <v>1166</v>
      </c>
      <c r="D17" s="19"/>
      <c r="E17" s="19"/>
      <c r="F17" s="19"/>
      <c r="G17" s="19"/>
      <c r="H17" s="19"/>
      <c r="I17" s="19"/>
      <c r="J17" s="19"/>
      <c r="K17" s="19"/>
      <c r="L17" s="1424" t="s">
        <v>64</v>
      </c>
      <c r="M17" s="1343"/>
      <c r="N17" s="1368"/>
      <c r="O17" s="1386"/>
    </row>
    <row r="18" spans="1:15" ht="17.399999999999999">
      <c r="A18" s="142"/>
      <c r="B18" s="142"/>
      <c r="C18" s="132" t="s">
        <v>1167</v>
      </c>
      <c r="D18" s="15"/>
      <c r="E18" s="15"/>
      <c r="F18" s="15"/>
      <c r="G18" s="15"/>
      <c r="H18" s="15"/>
      <c r="I18" s="15"/>
      <c r="J18" s="15"/>
      <c r="K18" s="15"/>
      <c r="L18" s="876" t="s">
        <v>92</v>
      </c>
      <c r="M18" s="1344"/>
      <c r="N18" s="1369"/>
      <c r="O18" s="1387"/>
    </row>
    <row r="19" spans="1:15" ht="17.399999999999999">
      <c r="A19" s="142"/>
      <c r="B19" s="142"/>
      <c r="C19" s="877"/>
      <c r="D19" s="1364" t="s">
        <v>1168</v>
      </c>
      <c r="E19" s="1394"/>
      <c r="F19" s="1394"/>
      <c r="G19" s="1364"/>
      <c r="H19" s="1364"/>
      <c r="I19" s="1395" t="s">
        <v>363</v>
      </c>
      <c r="J19" s="1364"/>
      <c r="K19" s="1364"/>
      <c r="L19" s="1365" t="str">
        <f>$O$2&amp;"/J"</f>
        <v>€/J</v>
      </c>
      <c r="M19" s="1396"/>
      <c r="N19" s="1370"/>
      <c r="O19" s="1388"/>
    </row>
    <row r="20" spans="1:15" ht="17.399999999999999">
      <c r="A20" s="142"/>
      <c r="B20" s="142"/>
      <c r="C20" s="877"/>
      <c r="D20" s="916" t="s">
        <v>843</v>
      </c>
      <c r="E20" s="977"/>
      <c r="F20" s="1397"/>
      <c r="G20" s="1398"/>
      <c r="H20" s="978"/>
      <c r="I20" s="978" t="s">
        <v>641</v>
      </c>
      <c r="J20" s="916"/>
      <c r="K20" s="916"/>
      <c r="L20" s="1399" t="str">
        <f>$O$2&amp;"/J"</f>
        <v>€/J</v>
      </c>
      <c r="M20" s="1400"/>
      <c r="N20" s="1401"/>
      <c r="O20" s="1402"/>
    </row>
    <row r="21" spans="1:15" ht="17.399999999999999">
      <c r="A21" s="142"/>
      <c r="B21" s="142"/>
      <c r="C21" s="877"/>
      <c r="D21" s="916" t="s">
        <v>94</v>
      </c>
      <c r="E21" s="977"/>
      <c r="F21" s="977"/>
      <c r="G21" s="887"/>
      <c r="H21" s="887"/>
      <c r="I21" s="1403">
        <f>N8</f>
        <v>0</v>
      </c>
      <c r="J21" s="978" t="s">
        <v>1169</v>
      </c>
      <c r="K21" s="916"/>
      <c r="L21" s="1399" t="str">
        <f>$O$2&amp;"/J"</f>
        <v>€/J</v>
      </c>
      <c r="M21" s="1400"/>
      <c r="N21" s="1401"/>
      <c r="O21" s="1402"/>
    </row>
    <row r="22" spans="1:15" ht="18" thickBot="1">
      <c r="A22" s="142"/>
      <c r="B22" s="142"/>
      <c r="C22" s="877"/>
      <c r="D22" s="1406" t="s">
        <v>91</v>
      </c>
      <c r="E22" s="1407"/>
      <c r="F22" s="1407"/>
      <c r="G22" s="1408"/>
      <c r="H22" s="1408"/>
      <c r="I22" s="1409">
        <f>N9</f>
        <v>0</v>
      </c>
      <c r="J22" s="1410" t="s">
        <v>1169</v>
      </c>
      <c r="K22" s="1406"/>
      <c r="L22" s="960" t="str">
        <f>$O$2&amp;"/J"</f>
        <v>€/J</v>
      </c>
      <c r="M22" s="1411"/>
      <c r="N22" s="1412"/>
      <c r="O22" s="1413"/>
    </row>
    <row r="23" spans="1:15" ht="18" thickTop="1">
      <c r="A23" s="142"/>
      <c r="B23" s="142"/>
      <c r="C23" s="877"/>
      <c r="D23" s="16" t="s">
        <v>635</v>
      </c>
      <c r="E23" s="16"/>
      <c r="F23" s="16"/>
      <c r="G23" s="16"/>
      <c r="H23" s="16"/>
      <c r="I23" s="1404" t="s">
        <v>638</v>
      </c>
      <c r="J23" s="1404"/>
      <c r="K23" s="1404"/>
      <c r="L23" s="1366" t="str">
        <f>$O$2&amp;"/J"</f>
        <v>€/J</v>
      </c>
      <c r="M23" s="1405"/>
      <c r="N23" s="1376"/>
      <c r="O23" s="1392"/>
    </row>
    <row r="24" spans="1:15" ht="18" thickBot="1">
      <c r="A24" s="142"/>
      <c r="B24" s="142"/>
      <c r="C24" s="961"/>
      <c r="D24" s="962"/>
      <c r="E24" s="962"/>
      <c r="F24" s="962"/>
      <c r="G24" s="962"/>
      <c r="H24" s="962"/>
      <c r="I24" s="962" t="str">
        <f>"je "&amp;$O$5</f>
        <v>je h</v>
      </c>
      <c r="J24" s="962"/>
      <c r="K24" s="962"/>
      <c r="L24" s="963" t="str">
        <f>$O$2&amp;"/"&amp;$O$5</f>
        <v>€/h</v>
      </c>
      <c r="M24" s="1350"/>
      <c r="N24" s="1372"/>
      <c r="O24" s="1351"/>
    </row>
    <row r="25" spans="1:15" ht="17.399999999999999">
      <c r="A25" s="142"/>
      <c r="B25" s="142"/>
      <c r="C25" s="132" t="s">
        <v>1170</v>
      </c>
      <c r="D25" s="15"/>
      <c r="E25" s="15"/>
      <c r="F25" s="15"/>
      <c r="G25" s="15"/>
      <c r="H25" s="15"/>
      <c r="I25" s="15"/>
      <c r="J25" s="15"/>
      <c r="K25" s="15"/>
      <c r="L25" s="884"/>
      <c r="M25" s="1348"/>
      <c r="N25" s="1373"/>
      <c r="O25" s="1390"/>
    </row>
    <row r="26" spans="1:15" ht="17.399999999999999">
      <c r="A26" s="142"/>
      <c r="B26" s="142"/>
      <c r="C26" s="877"/>
      <c r="D26" s="1364" t="s">
        <v>95</v>
      </c>
      <c r="E26" s="1364"/>
      <c r="F26" s="1364"/>
      <c r="G26" s="1395"/>
      <c r="H26" s="1364"/>
      <c r="I26" s="1395" t="s">
        <v>364</v>
      </c>
      <c r="J26" s="1364"/>
      <c r="K26" s="1364"/>
      <c r="L26" s="1365" t="str">
        <f>$O$2&amp;"/"&amp;$O$5</f>
        <v>€/h</v>
      </c>
      <c r="M26" s="1417"/>
      <c r="N26" s="1418"/>
      <c r="O26" s="1419"/>
    </row>
    <row r="27" spans="1:15" ht="17.399999999999999">
      <c r="A27" s="142"/>
      <c r="B27" s="142"/>
      <c r="C27" s="877"/>
      <c r="D27" s="916" t="s">
        <v>819</v>
      </c>
      <c r="E27" s="916"/>
      <c r="F27" s="916"/>
      <c r="G27" s="916"/>
      <c r="H27" s="916"/>
      <c r="I27" s="916"/>
      <c r="J27" s="916"/>
      <c r="K27" s="916"/>
      <c r="L27" s="1399" t="str">
        <f>$O$2&amp;"/"&amp;$O$5</f>
        <v>€/h</v>
      </c>
      <c r="M27" s="1420"/>
      <c r="N27" s="1421"/>
      <c r="O27" s="1422"/>
    </row>
    <row r="28" spans="1:15" ht="18" thickBot="1">
      <c r="A28" s="142"/>
      <c r="B28" s="142"/>
      <c r="C28" s="877"/>
      <c r="D28" s="1423" t="s">
        <v>1572</v>
      </c>
      <c r="E28" s="1406"/>
      <c r="F28" s="1406"/>
      <c r="G28" s="1406"/>
      <c r="H28" s="1406"/>
      <c r="I28" s="1406"/>
      <c r="J28" s="1406"/>
      <c r="K28" s="1406"/>
      <c r="L28" s="960" t="str">
        <f>$O$2&amp;"/"&amp;$O$5</f>
        <v>€/h</v>
      </c>
      <c r="M28" s="1342"/>
      <c r="N28" s="1371"/>
      <c r="O28" s="1389"/>
    </row>
    <row r="29" spans="1:15" ht="18" thickTop="1">
      <c r="A29" s="142"/>
      <c r="B29" s="142"/>
      <c r="C29" s="877"/>
      <c r="D29" s="16" t="s">
        <v>636</v>
      </c>
      <c r="E29" s="16"/>
      <c r="F29" s="16"/>
      <c r="G29" s="16"/>
      <c r="H29" s="16"/>
      <c r="I29" s="1404" t="str">
        <f>"je "&amp;$O$5</f>
        <v>je h</v>
      </c>
      <c r="J29" s="1404"/>
      <c r="K29" s="1404"/>
      <c r="L29" s="1367" t="str">
        <f>$O$2&amp;"/"&amp;$O$5</f>
        <v>€/h</v>
      </c>
      <c r="M29" s="1414"/>
      <c r="N29" s="1415"/>
      <c r="O29" s="1416"/>
    </row>
    <row r="30" spans="1:15" ht="18" thickBot="1">
      <c r="A30" s="142"/>
      <c r="B30" s="142"/>
      <c r="C30" s="961"/>
      <c r="D30" s="962"/>
      <c r="E30" s="962"/>
      <c r="F30" s="962"/>
      <c r="G30" s="962"/>
      <c r="H30" s="962"/>
      <c r="I30" s="962" t="s">
        <v>638</v>
      </c>
      <c r="J30" s="962"/>
      <c r="K30" s="962"/>
      <c r="L30" s="969" t="str">
        <f>$O$2&amp;"/J"</f>
        <v>€/J</v>
      </c>
      <c r="M30" s="1355"/>
      <c r="N30" s="1374"/>
      <c r="O30" s="1356"/>
    </row>
    <row r="31" spans="1:15" ht="17.399999999999999">
      <c r="A31" s="142"/>
      <c r="B31" s="142"/>
      <c r="C31" s="799" t="s">
        <v>1126</v>
      </c>
      <c r="D31" s="15"/>
      <c r="E31" s="15"/>
      <c r="F31" s="15"/>
      <c r="G31" s="15"/>
      <c r="H31" s="15"/>
      <c r="I31" s="15"/>
      <c r="J31" s="15"/>
      <c r="K31" s="15"/>
      <c r="L31" s="884"/>
      <c r="M31" s="1357"/>
      <c r="N31" s="1375"/>
      <c r="O31" s="1391"/>
    </row>
    <row r="32" spans="1:15" ht="17.399999999999999">
      <c r="A32" s="142"/>
      <c r="B32" s="142"/>
      <c r="C32" s="122"/>
      <c r="D32" s="16" t="s">
        <v>637</v>
      </c>
      <c r="E32" s="16"/>
      <c r="F32" s="16"/>
      <c r="G32" s="16"/>
      <c r="H32" s="16"/>
      <c r="I32" s="970" t="s">
        <v>638</v>
      </c>
      <c r="J32" s="970"/>
      <c r="K32" s="970"/>
      <c r="L32" s="959" t="str">
        <f>$O$2&amp;"/J"</f>
        <v>€/J</v>
      </c>
      <c r="M32" s="1349"/>
      <c r="N32" s="1376"/>
      <c r="O32" s="1392"/>
    </row>
    <row r="33" spans="1:19" ht="18" thickBot="1">
      <c r="A33" s="142"/>
      <c r="B33" s="142"/>
      <c r="C33" s="129"/>
      <c r="D33" s="802" t="s">
        <v>644</v>
      </c>
      <c r="E33" s="130"/>
      <c r="F33" s="130"/>
      <c r="G33" s="130"/>
      <c r="H33" s="130"/>
      <c r="I33" s="130" t="str">
        <f>"je "&amp;$O$5</f>
        <v>je h</v>
      </c>
      <c r="J33" s="130"/>
      <c r="K33" s="130"/>
      <c r="L33" s="131" t="str">
        <f>$O$2&amp;"/"&amp;$O$5</f>
        <v>€/h</v>
      </c>
      <c r="M33" s="1358"/>
      <c r="N33" s="1377"/>
      <c r="O33" s="1393"/>
    </row>
    <row r="34" spans="1:19" ht="18" thickTop="1">
      <c r="A34" s="142"/>
      <c r="B34" s="142"/>
      <c r="C34" s="22"/>
      <c r="D34" s="15"/>
      <c r="E34" s="16"/>
      <c r="F34" s="16"/>
      <c r="G34" s="16"/>
      <c r="H34" s="16"/>
      <c r="I34" s="16"/>
      <c r="J34" s="16"/>
      <c r="K34" s="16"/>
      <c r="L34" s="22"/>
      <c r="M34" s="1524"/>
      <c r="N34" s="1524"/>
      <c r="O34" s="1524"/>
    </row>
    <row r="36" spans="1:19">
      <c r="R36" s="98" t="s">
        <v>1614</v>
      </c>
    </row>
    <row r="37" spans="1:19">
      <c r="R37" s="29">
        <v>0</v>
      </c>
      <c r="S37" s="29">
        <v>11</v>
      </c>
    </row>
    <row r="38" spans="1:19">
      <c r="R38" s="29">
        <v>90</v>
      </c>
      <c r="S38" s="29">
        <v>0</v>
      </c>
    </row>
    <row r="43" spans="1:19" ht="7.05" customHeight="1"/>
  </sheetData>
  <pageMargins left="0.70866141732283472" right="0.39370078740157483" top="0.39370078740157483" bottom="0.19685039370078741" header="0.31496062992125984" footer="0.17"/>
  <pageSetup paperSize="9" firstPageNumber="2" orientation="portrait" blackAndWhite="1" horizontalDpi="4294967292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19</vt:i4>
      </vt:variant>
    </vt:vector>
  </HeadingPairs>
  <TitlesOfParts>
    <vt:vector size="36" baseType="lpstr">
      <vt:lpstr>Inhalt</vt:lpstr>
      <vt:lpstr>Text</vt:lpstr>
      <vt:lpstr>Traktor</vt:lpstr>
      <vt:lpstr>MDresch</vt:lpstr>
      <vt:lpstr>SF-Häcksler</vt:lpstr>
      <vt:lpstr>MaKo Formular2</vt:lpstr>
      <vt:lpstr>MaKo Formular3</vt:lpstr>
      <vt:lpstr>Bsp VerfKo Pfügen</vt:lpstr>
      <vt:lpstr>BSp Gebrauchtmaschine</vt:lpstr>
      <vt:lpstr>MEU-Übersicht</vt:lpstr>
      <vt:lpstr>MEU Übung</vt:lpstr>
      <vt:lpstr>Bsp Stall</vt:lpstr>
      <vt:lpstr>Bsp Stall 2</vt:lpstr>
      <vt:lpstr>Progressive AfA</vt:lpstr>
      <vt:lpstr>Digitale AfA</vt:lpstr>
      <vt:lpstr>AfA</vt:lpstr>
      <vt:lpstr>MaKo Formular3 ohne Formeln</vt:lpstr>
      <vt:lpstr>DBLATT</vt:lpstr>
      <vt:lpstr>AfA!Druckbereich</vt:lpstr>
      <vt:lpstr>'BSp Gebrauchtmaschine'!Druckbereich</vt:lpstr>
      <vt:lpstr>'Bsp Stall'!Druckbereich</vt:lpstr>
      <vt:lpstr>'Bsp Stall 2'!Druckbereich</vt:lpstr>
      <vt:lpstr>'Bsp VerfKo Pfügen'!Druckbereich</vt:lpstr>
      <vt:lpstr>'Digitale AfA'!Druckbereich</vt:lpstr>
      <vt:lpstr>Inhalt!Druckbereich</vt:lpstr>
      <vt:lpstr>'MaKo Formular2'!Druckbereich</vt:lpstr>
      <vt:lpstr>'MaKo Formular3'!Druckbereich</vt:lpstr>
      <vt:lpstr>'MaKo Formular3 ohne Formeln'!Druckbereich</vt:lpstr>
      <vt:lpstr>MDresch!Druckbereich</vt:lpstr>
      <vt:lpstr>'MEU Übung'!Druckbereich</vt:lpstr>
      <vt:lpstr>'MEU-Übersicht'!Druckbereich</vt:lpstr>
      <vt:lpstr>'Progressive AfA'!Druckbereich</vt:lpstr>
      <vt:lpstr>'SF-Häcksler'!Druckbereich</vt:lpstr>
      <vt:lpstr>Text!Druckbereich</vt:lpstr>
      <vt:lpstr>Traktor!Druckbereich</vt:lpstr>
      <vt:lpstr>Text!Exponent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  Kosten dauerhafter Produktionsmittel</dc:title>
  <dc:creator>Abt. Triesdorf</dc:creator>
  <cp:lastModifiedBy>admin</cp:lastModifiedBy>
  <cp:lastPrinted>2020-11-02T20:14:56Z</cp:lastPrinted>
  <dcterms:created xsi:type="dcterms:W3CDTF">1997-09-14T15:04:28Z</dcterms:created>
  <dcterms:modified xsi:type="dcterms:W3CDTF">2021-03-17T08:55:50Z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120 120 1920 1080</vt:lpwstr>
  </property>
</Properties>
</file>